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bby.sharp3\NHS\SYICB Corporate Governance and Corporate Admin - Risk Management - Risk Management\02 Risk Reports to Sub-Committees\02.8 Place Board\2026\Rotherham\2026.04.15\"/>
    </mc:Choice>
  </mc:AlternateContent>
  <xr:revisionPtr revIDLastSave="0" documentId="13_ncr:1_{C8610681-86A7-4B5D-934A-8328D3DC27D7}" xr6:coauthVersionLast="47" xr6:coauthVersionMax="47" xr10:uidLastSave="{00000000-0000-0000-0000-000000000000}"/>
  <bookViews>
    <workbookView xWindow="-110" yWindow="-110" windowWidth="19420" windowHeight="10300" firstSheet="4" activeTab="7" xr2:uid="{7515BEE6-5A97-4269-BCDE-FD26BED5BB6A}"/>
  </bookViews>
  <sheets>
    <sheet name="1. Cover Sheet" sheetId="6" r:id="rId1"/>
    <sheet name="2. Introduction" sheetId="7" r:id="rId2"/>
    <sheet name="3. Risk Matrix Domain &amp; RACI" sheetId="19" r:id="rId3"/>
    <sheet name="3a. Heat Map" sheetId="20" r:id="rId4"/>
    <sheet name="5(iiI) Rotherham BAF" sheetId="27" r:id="rId5"/>
    <sheet name="8. Organogram" sheetId="21" r:id="rId6"/>
    <sheet name="10(iii) Rotherham RR" sheetId="26" r:id="rId7"/>
    <sheet name="14(iiI) Rotherham IL" sheetId="31" r:id="rId8"/>
    <sheet name="20. Rotherham Place Partnership" sheetId="32" r:id="rId9"/>
  </sheets>
  <externalReferences>
    <externalReference r:id="rId10"/>
  </externalReferences>
  <definedNames>
    <definedName name="_xlnm.Print_Area" localSheetId="7">'14(iiI) Rotherham IL'!#REF!</definedName>
    <definedName name="_xlnm.Print_Area" localSheetId="8">'20. Rotherham Place Partnership'!$A$1:$X$5</definedName>
    <definedName name="_xlnm.Print_Area" localSheetId="2">'3. Risk Matrix Domain &amp; RACI'!$A$1:$N$60</definedName>
    <definedName name="_xlnm.Print_Area" localSheetId="4">'5(iiI) Rotherham BAF'!#REF!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 i="31" l="1"/>
  <c r="V5" i="31"/>
  <c r="U5" i="31"/>
  <c r="T5" i="31"/>
  <c r="S5" i="31"/>
  <c r="R5" i="31"/>
  <c r="Q5" i="31"/>
  <c r="O5" i="31"/>
  <c r="N5" i="31"/>
  <c r="M5" i="31"/>
  <c r="L5" i="31"/>
  <c r="K5" i="31"/>
  <c r="J5" i="31"/>
  <c r="I5" i="31"/>
  <c r="H5" i="31"/>
  <c r="G5" i="31"/>
  <c r="F5" i="31"/>
  <c r="E5" i="31"/>
  <c r="D5" i="31"/>
  <c r="C5" i="31"/>
  <c r="B5" i="31"/>
  <c r="A5" i="31"/>
  <c r="X4" i="31"/>
  <c r="V4" i="31"/>
  <c r="U4" i="31"/>
  <c r="T4" i="31"/>
  <c r="S4" i="31"/>
  <c r="R4" i="31"/>
  <c r="Q4" i="31"/>
  <c r="O4" i="31"/>
  <c r="N4" i="31"/>
  <c r="M4" i="31"/>
  <c r="L4" i="31"/>
  <c r="K4" i="31"/>
  <c r="J4" i="31"/>
  <c r="I4" i="31"/>
  <c r="H4" i="31"/>
  <c r="G4" i="31"/>
  <c r="F4" i="31"/>
  <c r="E4" i="31"/>
  <c r="D4" i="31"/>
  <c r="C4" i="31"/>
  <c r="B4" i="31"/>
  <c r="A4" i="31"/>
  <c r="X3" i="31"/>
  <c r="V3" i="31"/>
  <c r="U3" i="31"/>
  <c r="T3" i="31"/>
  <c r="S3" i="31"/>
  <c r="R3" i="31"/>
  <c r="Q3" i="31"/>
  <c r="O3" i="31"/>
  <c r="N3" i="31"/>
  <c r="M3" i="31"/>
  <c r="L3" i="31"/>
  <c r="K3" i="31"/>
  <c r="J3" i="31"/>
  <c r="I3" i="31"/>
  <c r="H3" i="31"/>
  <c r="G3" i="31"/>
  <c r="F3" i="31"/>
  <c r="E3" i="31"/>
  <c r="D3" i="31"/>
  <c r="C3" i="31"/>
  <c r="B3" i="31"/>
  <c r="A3" i="31"/>
  <c r="X20" i="27"/>
  <c r="W20" i="27"/>
  <c r="V20" i="27"/>
  <c r="U20" i="27"/>
  <c r="T20" i="27"/>
  <c r="S20" i="27"/>
  <c r="R20" i="27"/>
  <c r="Q20" i="27"/>
  <c r="P20" i="27"/>
  <c r="O20" i="27"/>
  <c r="N20" i="27"/>
  <c r="M20" i="27"/>
  <c r="L20" i="27"/>
  <c r="K20" i="27"/>
  <c r="J20" i="27"/>
  <c r="I20" i="27"/>
  <c r="H20" i="27"/>
  <c r="G20" i="27"/>
  <c r="F20" i="27"/>
  <c r="E20" i="27"/>
  <c r="D20" i="27"/>
  <c r="C20" i="27"/>
  <c r="B20" i="27"/>
  <c r="A20" i="27"/>
  <c r="X19" i="27"/>
  <c r="W19" i="27"/>
  <c r="V19" i="27"/>
  <c r="U19" i="27"/>
  <c r="T19" i="27"/>
  <c r="S19" i="27"/>
  <c r="R19" i="27"/>
  <c r="Q19" i="27"/>
  <c r="P19" i="27"/>
  <c r="O19" i="27"/>
  <c r="N19" i="27"/>
  <c r="M19" i="27"/>
  <c r="L19" i="27"/>
  <c r="K19" i="27"/>
  <c r="J19" i="27"/>
  <c r="I19" i="27"/>
  <c r="H19" i="27"/>
  <c r="G19" i="27"/>
  <c r="F19" i="27"/>
  <c r="E19" i="27"/>
  <c r="D19" i="27"/>
  <c r="C19" i="27"/>
  <c r="B19" i="27"/>
  <c r="A19" i="27"/>
  <c r="X17" i="27"/>
  <c r="W17" i="27"/>
  <c r="V17" i="27"/>
  <c r="U17" i="27"/>
  <c r="T17" i="27"/>
  <c r="S17" i="27"/>
  <c r="R17" i="27"/>
  <c r="Q17" i="27"/>
  <c r="P17" i="27"/>
  <c r="O17" i="27"/>
  <c r="N17" i="27"/>
  <c r="M17" i="27"/>
  <c r="L17" i="27"/>
  <c r="K17" i="27"/>
  <c r="J17" i="27"/>
  <c r="I17" i="27"/>
  <c r="H17" i="27"/>
  <c r="G17" i="27"/>
  <c r="F17" i="27"/>
  <c r="E17" i="27"/>
  <c r="D17" i="27"/>
  <c r="C17" i="27"/>
  <c r="B17" i="27"/>
  <c r="A17" i="27"/>
  <c r="X16" i="27"/>
  <c r="W16" i="27"/>
  <c r="V16" i="27"/>
  <c r="U16" i="27"/>
  <c r="T16" i="27"/>
  <c r="S16" i="27"/>
  <c r="R16" i="27"/>
  <c r="Q16" i="27"/>
  <c r="P16" i="27"/>
  <c r="O16" i="27"/>
  <c r="N16" i="27"/>
  <c r="M16" i="27"/>
  <c r="L16" i="27"/>
  <c r="K16" i="27"/>
  <c r="J16" i="27"/>
  <c r="I16" i="27"/>
  <c r="H16" i="27"/>
  <c r="G16" i="27"/>
  <c r="F16" i="27"/>
  <c r="E16" i="27"/>
  <c r="D16" i="27"/>
  <c r="C16" i="27"/>
  <c r="B16" i="27"/>
  <c r="A16" i="27"/>
  <c r="Y14" i="27"/>
  <c r="X14" i="27"/>
  <c r="W14" i="27"/>
  <c r="V14" i="27"/>
  <c r="U14" i="27"/>
  <c r="T14" i="27"/>
  <c r="S14" i="27"/>
  <c r="R14" i="27"/>
  <c r="Q14" i="27"/>
  <c r="P14" i="27"/>
  <c r="O14" i="27"/>
  <c r="N14" i="27"/>
  <c r="M14" i="27"/>
  <c r="L14" i="27"/>
  <c r="K14" i="27"/>
  <c r="J14" i="27"/>
  <c r="I14" i="27"/>
  <c r="H14" i="27"/>
  <c r="G14" i="27"/>
  <c r="F14" i="27"/>
  <c r="E14" i="27"/>
  <c r="D14" i="27"/>
  <c r="C14" i="27"/>
  <c r="B14" i="27"/>
  <c r="A14" i="27"/>
  <c r="Y13" i="27"/>
  <c r="X13" i="27"/>
  <c r="W13" i="27"/>
  <c r="V13" i="27"/>
  <c r="U13" i="27"/>
  <c r="T13" i="27"/>
  <c r="S13" i="27"/>
  <c r="R13" i="27"/>
  <c r="Q13" i="27"/>
  <c r="P13" i="27"/>
  <c r="O13" i="27"/>
  <c r="N13" i="27"/>
  <c r="M13" i="27"/>
  <c r="L13" i="27"/>
  <c r="K13" i="27"/>
  <c r="J13" i="27"/>
  <c r="I13" i="27"/>
  <c r="H13" i="27"/>
  <c r="G13" i="27"/>
  <c r="F13" i="27"/>
  <c r="E13" i="27"/>
  <c r="D13" i="27"/>
  <c r="C13" i="27"/>
  <c r="B13" i="27"/>
  <c r="A13" i="27"/>
  <c r="Y12" i="27"/>
  <c r="X12" i="27"/>
  <c r="W12" i="27"/>
  <c r="V12" i="27"/>
  <c r="U12" i="27"/>
  <c r="T12" i="27"/>
  <c r="S12" i="27"/>
  <c r="R12" i="27"/>
  <c r="Q12" i="27"/>
  <c r="P12" i="27"/>
  <c r="O12" i="27"/>
  <c r="N12" i="27"/>
  <c r="M12" i="27"/>
  <c r="L12" i="27"/>
  <c r="K12" i="27"/>
  <c r="J12" i="27"/>
  <c r="I12" i="27"/>
  <c r="H12" i="27"/>
  <c r="G12" i="27"/>
  <c r="F12" i="27"/>
  <c r="E12" i="27"/>
  <c r="D12" i="27"/>
  <c r="C12" i="27"/>
  <c r="B12" i="27"/>
  <c r="A12" i="27"/>
  <c r="X10" i="27"/>
  <c r="W10" i="27"/>
  <c r="V10" i="27"/>
  <c r="U10" i="27"/>
  <c r="T10" i="27"/>
  <c r="S10" i="27"/>
  <c r="R10" i="27"/>
  <c r="Q10" i="27"/>
  <c r="P10" i="27"/>
  <c r="O10" i="27"/>
  <c r="N10" i="27"/>
  <c r="M10" i="27"/>
  <c r="L10" i="27"/>
  <c r="K10" i="27"/>
  <c r="J10" i="27"/>
  <c r="I10" i="27"/>
  <c r="H10" i="27"/>
  <c r="G10" i="27"/>
  <c r="F10" i="27"/>
  <c r="E10" i="27"/>
  <c r="D10" i="27"/>
  <c r="C10" i="27"/>
  <c r="B10" i="27"/>
  <c r="A10" i="27"/>
  <c r="X9" i="27"/>
  <c r="W9" i="27"/>
  <c r="V9" i="27"/>
  <c r="U9" i="27"/>
  <c r="T9" i="27"/>
  <c r="S9" i="27"/>
  <c r="R9" i="27"/>
  <c r="Q9" i="27"/>
  <c r="P9" i="27"/>
  <c r="O9" i="27"/>
  <c r="N9" i="27"/>
  <c r="M9" i="27"/>
  <c r="L9" i="27"/>
  <c r="K9" i="27"/>
  <c r="J9" i="27"/>
  <c r="I9" i="27"/>
  <c r="H9" i="27"/>
  <c r="G9" i="27"/>
  <c r="F9" i="27"/>
  <c r="E9" i="27"/>
  <c r="D9" i="27"/>
  <c r="C9" i="27"/>
  <c r="B9" i="27"/>
  <c r="A9" i="27"/>
  <c r="X8" i="27"/>
  <c r="W8" i="27"/>
  <c r="V8" i="27"/>
  <c r="U8" i="27"/>
  <c r="T8" i="27"/>
  <c r="S8" i="27"/>
  <c r="R8" i="27"/>
  <c r="Q8" i="27"/>
  <c r="P8" i="27"/>
  <c r="O8" i="27"/>
  <c r="N8" i="27"/>
  <c r="M8" i="27"/>
  <c r="L8" i="27"/>
  <c r="K8" i="27"/>
  <c r="J8" i="27"/>
  <c r="I8" i="27"/>
  <c r="H8" i="27"/>
  <c r="G8" i="27"/>
  <c r="F8" i="27"/>
  <c r="E8" i="27"/>
  <c r="D8" i="27"/>
  <c r="C8" i="27"/>
  <c r="B8" i="27"/>
  <c r="A8" i="27"/>
  <c r="X7" i="27"/>
  <c r="W7" i="27"/>
  <c r="V7" i="27"/>
  <c r="U7" i="27"/>
  <c r="T7" i="27"/>
  <c r="S7" i="27"/>
  <c r="R7" i="27"/>
  <c r="Q7" i="27"/>
  <c r="P7" i="27"/>
  <c r="O7" i="27"/>
  <c r="N7" i="27"/>
  <c r="M7" i="27"/>
  <c r="L7" i="27"/>
  <c r="K7" i="27"/>
  <c r="J7" i="27"/>
  <c r="I7" i="27"/>
  <c r="H7" i="27"/>
  <c r="G7" i="27"/>
  <c r="F7" i="27"/>
  <c r="E7" i="27"/>
  <c r="D7" i="27"/>
  <c r="C7" i="27"/>
  <c r="B7" i="27"/>
  <c r="A7" i="27"/>
  <c r="X6" i="27"/>
  <c r="W6" i="27"/>
  <c r="V6" i="27"/>
  <c r="U6" i="27"/>
  <c r="T6" i="27"/>
  <c r="S6" i="27"/>
  <c r="R6" i="27"/>
  <c r="Q6" i="27"/>
  <c r="P6" i="27"/>
  <c r="O6" i="27"/>
  <c r="N6" i="27"/>
  <c r="M6" i="27"/>
  <c r="L6" i="27"/>
  <c r="K6" i="27"/>
  <c r="J6" i="27"/>
  <c r="I6" i="27"/>
  <c r="H6" i="27"/>
  <c r="G6" i="27"/>
  <c r="F6" i="27"/>
  <c r="E6" i="27"/>
  <c r="D6" i="27"/>
  <c r="C6" i="27"/>
  <c r="B6" i="27"/>
  <c r="A6" i="27"/>
  <c r="X5" i="27"/>
  <c r="W5" i="27"/>
  <c r="V5" i="27"/>
  <c r="U5" i="27"/>
  <c r="T5" i="27"/>
  <c r="S5" i="27"/>
  <c r="R5" i="27"/>
  <c r="Q5" i="27"/>
  <c r="P5" i="27"/>
  <c r="O5" i="27"/>
  <c r="N5" i="27"/>
  <c r="M5" i="27"/>
  <c r="L5" i="27"/>
  <c r="K5" i="27"/>
  <c r="J5" i="27"/>
  <c r="I5" i="27"/>
  <c r="H5" i="27"/>
  <c r="G5" i="27"/>
  <c r="F5" i="27"/>
  <c r="E5" i="27"/>
  <c r="D5" i="27"/>
  <c r="C5" i="27"/>
  <c r="B5" i="27"/>
  <c r="A5" i="27"/>
  <c r="X4" i="27"/>
  <c r="W4" i="27"/>
  <c r="V4" i="27"/>
  <c r="U4" i="27"/>
  <c r="T4" i="27"/>
  <c r="S4" i="27"/>
  <c r="R4" i="27"/>
  <c r="Q4" i="27"/>
  <c r="P4" i="27"/>
  <c r="O4" i="27"/>
  <c r="N4" i="27"/>
  <c r="M4" i="27"/>
  <c r="L4" i="27"/>
  <c r="K4" i="27"/>
  <c r="J4" i="27"/>
  <c r="I4" i="27"/>
  <c r="H4" i="27"/>
  <c r="G4" i="27"/>
  <c r="F4" i="27"/>
  <c r="E4" i="27"/>
  <c r="D4" i="27"/>
  <c r="C4" i="27"/>
  <c r="B4" i="27"/>
  <c r="A4" i="27"/>
  <c r="X3" i="27"/>
  <c r="W3" i="27"/>
  <c r="V3" i="27"/>
  <c r="U3" i="27"/>
  <c r="T3" i="27"/>
  <c r="S3" i="27"/>
  <c r="R3" i="27"/>
  <c r="Q3" i="27"/>
  <c r="P3" i="27"/>
  <c r="O3" i="27"/>
  <c r="N3" i="27"/>
  <c r="M3" i="27"/>
  <c r="L3" i="27"/>
  <c r="K3" i="27"/>
  <c r="J3" i="27"/>
  <c r="I3" i="27"/>
  <c r="H3" i="27"/>
  <c r="G3" i="27"/>
  <c r="F3" i="27"/>
  <c r="E3" i="27"/>
  <c r="D3" i="27"/>
  <c r="C3" i="27"/>
  <c r="B3" i="27"/>
  <c r="A3" i="27"/>
  <c r="AB13" i="26"/>
  <c r="Z13" i="26"/>
  <c r="Y13" i="26"/>
  <c r="X13" i="26"/>
  <c r="W13" i="26"/>
  <c r="V13" i="26"/>
  <c r="U13" i="26"/>
  <c r="T13" i="26"/>
  <c r="R13" i="26"/>
  <c r="Q13" i="26"/>
  <c r="O13" i="26"/>
  <c r="N13" i="26"/>
  <c r="M13" i="26"/>
  <c r="L13" i="26"/>
  <c r="K13" i="26"/>
  <c r="J13" i="26"/>
  <c r="H13" i="26"/>
  <c r="G13" i="26"/>
  <c r="F13" i="26"/>
  <c r="E13" i="26"/>
  <c r="D13" i="26"/>
  <c r="C13" i="26"/>
  <c r="B13" i="26"/>
  <c r="A13" i="26"/>
  <c r="AB12" i="26"/>
  <c r="Z12" i="26"/>
  <c r="Y12" i="26"/>
  <c r="X12" i="26"/>
  <c r="W12" i="26"/>
  <c r="V12" i="26"/>
  <c r="U12" i="26"/>
  <c r="T12" i="26"/>
  <c r="R12" i="26"/>
  <c r="Q12" i="26"/>
  <c r="O12" i="26"/>
  <c r="N12" i="26"/>
  <c r="M12" i="26"/>
  <c r="L12" i="26"/>
  <c r="K12" i="26"/>
  <c r="J12" i="26"/>
  <c r="H12" i="26"/>
  <c r="G12" i="26"/>
  <c r="F12" i="26"/>
  <c r="E12" i="26"/>
  <c r="D12" i="26"/>
  <c r="C12" i="26"/>
  <c r="B12" i="26"/>
  <c r="A12" i="26"/>
  <c r="AB11" i="26"/>
  <c r="Z11" i="26"/>
  <c r="Y11" i="26"/>
  <c r="X11" i="26"/>
  <c r="W11" i="26"/>
  <c r="V11" i="26"/>
  <c r="U11" i="26"/>
  <c r="T11" i="26"/>
  <c r="R11" i="26"/>
  <c r="Q11" i="26"/>
  <c r="P11" i="26"/>
  <c r="O11" i="26"/>
  <c r="N11" i="26"/>
  <c r="M11" i="26"/>
  <c r="L11" i="26"/>
  <c r="K11" i="26"/>
  <c r="J11" i="26"/>
  <c r="I11" i="26"/>
  <c r="H11" i="26"/>
  <c r="G11" i="26"/>
  <c r="F11" i="26"/>
  <c r="E11" i="26"/>
  <c r="D11" i="26"/>
  <c r="C11" i="26"/>
  <c r="B11" i="26"/>
  <c r="A11" i="26"/>
  <c r="AB10" i="26"/>
  <c r="Z10" i="26"/>
  <c r="Y10" i="26"/>
  <c r="X10" i="26"/>
  <c r="W10" i="26"/>
  <c r="V10" i="26"/>
  <c r="U10" i="26"/>
  <c r="T10" i="26"/>
  <c r="R10" i="26"/>
  <c r="Q10" i="26"/>
  <c r="O10" i="26"/>
  <c r="N10" i="26"/>
  <c r="M10" i="26"/>
  <c r="L10" i="26"/>
  <c r="K10" i="26"/>
  <c r="J10" i="26"/>
  <c r="H10" i="26"/>
  <c r="G10" i="26"/>
  <c r="F10" i="26"/>
  <c r="E10" i="26"/>
  <c r="D10" i="26"/>
  <c r="C10" i="26"/>
  <c r="B10" i="26"/>
  <c r="A10" i="26"/>
  <c r="AB9" i="26"/>
  <c r="Z9" i="26"/>
  <c r="Y9" i="26"/>
  <c r="X9" i="26"/>
  <c r="W9" i="26"/>
  <c r="V9" i="26"/>
  <c r="U9" i="26"/>
  <c r="T9" i="26"/>
  <c r="S9" i="26"/>
  <c r="R9" i="26"/>
  <c r="Q9" i="26"/>
  <c r="P9" i="26"/>
  <c r="O9" i="26"/>
  <c r="N9" i="26"/>
  <c r="M9" i="26"/>
  <c r="L9" i="26"/>
  <c r="K9" i="26"/>
  <c r="J9" i="26"/>
  <c r="I9" i="26"/>
  <c r="H9" i="26"/>
  <c r="G9" i="26"/>
  <c r="F9" i="26"/>
  <c r="E9" i="26"/>
  <c r="D9" i="26"/>
  <c r="C9" i="26"/>
  <c r="B9" i="26"/>
  <c r="A9" i="26"/>
  <c r="AB8" i="26"/>
  <c r="Z8" i="26"/>
  <c r="Y8" i="26"/>
  <c r="X8" i="26"/>
  <c r="W8" i="26"/>
  <c r="V8" i="26"/>
  <c r="U8" i="26"/>
  <c r="T8" i="26"/>
  <c r="R8" i="26"/>
  <c r="Q8" i="26"/>
  <c r="O8" i="26"/>
  <c r="N8" i="26"/>
  <c r="M8" i="26"/>
  <c r="L8" i="26"/>
  <c r="K8" i="26"/>
  <c r="J8" i="26"/>
  <c r="H8" i="26"/>
  <c r="G8" i="26"/>
  <c r="F8" i="26"/>
  <c r="E8" i="26"/>
  <c r="D8" i="26"/>
  <c r="C8" i="26"/>
  <c r="B8" i="26"/>
  <c r="A8" i="26"/>
  <c r="AB7" i="26"/>
  <c r="Z7" i="26"/>
  <c r="Y7" i="26"/>
  <c r="X7" i="26"/>
  <c r="W7" i="26"/>
  <c r="V7" i="26"/>
  <c r="U7" i="26"/>
  <c r="T7" i="26"/>
  <c r="R7" i="26"/>
  <c r="Q7" i="26"/>
  <c r="P7" i="26"/>
  <c r="O7" i="26"/>
  <c r="N7" i="26"/>
  <c r="M7" i="26"/>
  <c r="L7" i="26"/>
  <c r="K7" i="26"/>
  <c r="J7" i="26"/>
  <c r="I7" i="26"/>
  <c r="H7" i="26"/>
  <c r="G7" i="26"/>
  <c r="F7" i="26"/>
  <c r="E7" i="26"/>
  <c r="D7" i="26"/>
  <c r="C7" i="26"/>
  <c r="B7" i="26"/>
  <c r="A7" i="26"/>
  <c r="AB6" i="26"/>
  <c r="Z6" i="26"/>
  <c r="Y6" i="26"/>
  <c r="X6" i="26"/>
  <c r="W6" i="26"/>
  <c r="V6" i="26"/>
  <c r="U6" i="26"/>
  <c r="T6" i="26"/>
  <c r="R6" i="26"/>
  <c r="Q6" i="26"/>
  <c r="P6" i="26"/>
  <c r="O6" i="26"/>
  <c r="N6" i="26"/>
  <c r="M6" i="26"/>
  <c r="L6" i="26"/>
  <c r="K6" i="26"/>
  <c r="J6" i="26"/>
  <c r="I6" i="26"/>
  <c r="H6" i="26"/>
  <c r="G6" i="26"/>
  <c r="F6" i="26"/>
  <c r="E6" i="26"/>
  <c r="D6" i="26"/>
  <c r="C6" i="26"/>
  <c r="B6" i="26"/>
  <c r="A6" i="26"/>
  <c r="AB5" i="26"/>
  <c r="Z5" i="26"/>
  <c r="Y5" i="26"/>
  <c r="X5" i="26"/>
  <c r="W5" i="26"/>
  <c r="V5" i="26"/>
  <c r="U5" i="26"/>
  <c r="T5" i="26"/>
  <c r="R5" i="26"/>
  <c r="Q5" i="26"/>
  <c r="P5" i="26"/>
  <c r="O5" i="26"/>
  <c r="N5" i="26"/>
  <c r="M5" i="26"/>
  <c r="L5" i="26"/>
  <c r="K5" i="26"/>
  <c r="J5" i="26"/>
  <c r="I5" i="26"/>
  <c r="H5" i="26"/>
  <c r="G5" i="26"/>
  <c r="F5" i="26"/>
  <c r="E5" i="26"/>
  <c r="D5" i="26"/>
  <c r="C5" i="26"/>
  <c r="B5" i="26"/>
  <c r="A5" i="26"/>
  <c r="AB4" i="26"/>
  <c r="Z4" i="26"/>
  <c r="Y4" i="26"/>
  <c r="X4" i="26"/>
  <c r="W4" i="26"/>
  <c r="V4" i="26"/>
  <c r="U4" i="26"/>
  <c r="T4" i="26"/>
  <c r="R4" i="26"/>
  <c r="Q4" i="26"/>
  <c r="P4" i="26"/>
  <c r="O4" i="26"/>
  <c r="N4" i="26"/>
  <c r="M4" i="26"/>
  <c r="L4" i="26"/>
  <c r="K4" i="26"/>
  <c r="J4" i="26"/>
  <c r="I4" i="26"/>
  <c r="H4" i="26"/>
  <c r="G4" i="26"/>
  <c r="F4" i="26"/>
  <c r="E4" i="26"/>
  <c r="D4" i="26"/>
  <c r="C4" i="26"/>
  <c r="B4" i="26"/>
  <c r="A4" i="26"/>
  <c r="AB3" i="26"/>
  <c r="Z3" i="26"/>
  <c r="Y3" i="26"/>
  <c r="X3" i="26"/>
  <c r="W3" i="26"/>
  <c r="V3" i="26"/>
  <c r="U3" i="26"/>
  <c r="T3" i="26"/>
  <c r="R3" i="26"/>
  <c r="Q3" i="26"/>
  <c r="O3" i="26"/>
  <c r="N3" i="26"/>
  <c r="M3" i="26"/>
  <c r="L3" i="26"/>
  <c r="K3" i="26"/>
  <c r="J3" i="26"/>
  <c r="I3" i="26"/>
  <c r="H3" i="26"/>
  <c r="G3" i="26"/>
  <c r="F3" i="26"/>
  <c r="E3" i="26"/>
  <c r="D3" i="26"/>
  <c r="C3" i="26"/>
  <c r="B3" i="26"/>
  <c r="A3" i="26"/>
  <c r="I8" i="26" l="1"/>
  <c r="P8" i="26"/>
  <c r="I10" i="26"/>
  <c r="P10" i="26"/>
  <c r="I12" i="26"/>
  <c r="P12" i="26"/>
  <c r="I13" i="26"/>
  <c r="P13" i="26"/>
  <c r="W5" i="31" l="1"/>
  <c r="P5" i="31"/>
  <c r="W3" i="31"/>
  <c r="P3" i="31"/>
  <c r="W4" i="31"/>
  <c r="P4" i="31"/>
  <c r="AA4" i="26"/>
  <c r="S4" i="26"/>
  <c r="AA9" i="26"/>
  <c r="AA8" i="26"/>
  <c r="S8" i="26"/>
  <c r="S6" i="26" l="1"/>
  <c r="AA6" i="26"/>
  <c r="S5" i="26"/>
  <c r="AA5" i="26"/>
  <c r="S7" i="26"/>
  <c r="AA7" i="26"/>
  <c r="S3" i="26"/>
  <c r="AA3" i="26"/>
  <c r="S10" i="26"/>
  <c r="AA10" i="26"/>
  <c r="S11" i="26"/>
  <c r="AA11" i="26"/>
  <c r="S12" i="26"/>
  <c r="AA12" i="26"/>
  <c r="S13" i="26"/>
  <c r="AA13" i="26"/>
  <c r="Y19" i="27"/>
  <c r="Y20" i="27"/>
  <c r="Y16" i="27"/>
  <c r="Y17" i="27"/>
  <c r="Y3" i="27"/>
  <c r="Y4" i="27"/>
  <c r="Y5" i="27"/>
  <c r="Y6" i="27"/>
  <c r="Y7" i="27"/>
  <c r="Y8" i="27"/>
  <c r="Y9" i="27"/>
  <c r="Y10" i="27"/>
</calcChain>
</file>

<file path=xl/sharedStrings.xml><?xml version="1.0" encoding="utf-8"?>
<sst xmlns="http://schemas.openxmlformats.org/spreadsheetml/2006/main" count="473" uniqueCount="307">
  <si>
    <t>Board Assurance Framework, Corporate Risk Register &amp; Corporate Issues Log</t>
  </si>
  <si>
    <t>Version :</t>
  </si>
  <si>
    <t xml:space="preserve">Live </t>
  </si>
  <si>
    <t>Meeting Date:</t>
  </si>
  <si>
    <t xml:space="preserve">REPORT FOR: </t>
  </si>
  <si>
    <r>
      <t xml:space="preserve">This document combines the Board Assurance Framework (BAF), the Risk Register and Issues Log for ease of access. Each section includes a cover sheet, open items, closed items and a change tracker. The document also includes the Risk Scoring Matrix and RACI model defines whether the people involved in the project will be Responsible, Accountable, Consulted and Informed. The document also features the Organogram to inform which committee is responsible for each risk.
BAF objectives, Risks and Issues will be filtered to show those specific to the meeting in which the document is undergoing discussion / deep dive.  
Please can we request that any changes are highlighted in a different colour, and that any items for removal are only completed by Ruth Nutbrown, Alison Hague or Abby Sharp.  In order to navigate the document, please find a contents list below;
</t>
    </r>
    <r>
      <rPr>
        <b/>
        <sz val="11"/>
        <color rgb="FF000000"/>
        <rFont val="Arial"/>
        <family val="2"/>
      </rPr>
      <t>Tab 3 – Risk Scoring Matrix and RACI
Board Assurance Frame Work (BAF)</t>
    </r>
    <r>
      <rPr>
        <sz val="11"/>
        <color theme="1"/>
        <rFont val="Arial"/>
        <family val="2"/>
      </rPr>
      <t xml:space="preserve">
Tab 4 – Cover sheet
</t>
    </r>
    <r>
      <rPr>
        <b/>
        <sz val="11"/>
        <color rgb="FF4472C4"/>
        <rFont val="Arial"/>
        <family val="2"/>
      </rPr>
      <t>Tab 5 – Open BAF  - **key document**</t>
    </r>
    <r>
      <rPr>
        <sz val="11"/>
        <color rgb="FF4472C4"/>
        <rFont val="Arial"/>
        <family val="2"/>
      </rPr>
      <t xml:space="preserve">
</t>
    </r>
    <r>
      <rPr>
        <sz val="11"/>
        <color theme="1"/>
        <rFont val="Arial"/>
        <family val="2"/>
      </rPr>
      <t xml:space="preserve">Tab 6 – Removed  BAF
Tab 7 – BAF Change Tracking
Tab 8 – Organogram 
</t>
    </r>
    <r>
      <rPr>
        <b/>
        <sz val="11"/>
        <color rgb="FF000000"/>
        <rFont val="Arial"/>
        <family val="2"/>
      </rPr>
      <t>Risk Register</t>
    </r>
    <r>
      <rPr>
        <sz val="11"/>
        <color theme="1"/>
        <rFont val="Arial"/>
        <family val="2"/>
      </rPr>
      <t xml:space="preserve">
Tab 9 – Cover sheet
</t>
    </r>
    <r>
      <rPr>
        <b/>
        <sz val="11"/>
        <color rgb="FF4472C4"/>
        <rFont val="Arial"/>
        <family val="2"/>
      </rPr>
      <t>Tab 10 – Open Risks   **key document**</t>
    </r>
    <r>
      <rPr>
        <sz val="11"/>
        <color theme="1"/>
        <rFont val="Arial"/>
        <family val="2"/>
      </rPr>
      <t xml:space="preserve">
Tab 11 – Removed  Risks
Tab 12 – RR Change Tracking
</t>
    </r>
    <r>
      <rPr>
        <b/>
        <sz val="11"/>
        <color rgb="FF000000"/>
        <rFont val="Arial"/>
        <family val="2"/>
      </rPr>
      <t>Issues Log</t>
    </r>
    <r>
      <rPr>
        <sz val="11"/>
        <color theme="1"/>
        <rFont val="Arial"/>
        <family val="2"/>
      </rPr>
      <t xml:space="preserve">
Tab 13 – Cover sheet
Tab 14 – Issues Log
Tab 15 – Removed  Issues
Tab 16 – IL Change Tracking
</t>
    </r>
    <r>
      <rPr>
        <b/>
        <sz val="11"/>
        <color theme="1"/>
        <rFont val="Arial"/>
        <family val="2"/>
      </rPr>
      <t>Place Partnerships</t>
    </r>
    <r>
      <rPr>
        <sz val="11"/>
        <color theme="1"/>
        <rFont val="Arial"/>
        <family val="2"/>
      </rPr>
      <t xml:space="preserve">
Tab 17 – Cover sheet
Tab 18 – Barnsley Place Partnership
Tab 19 – Barnsley Place Partnership - Removed Risk
Tab 20 – Barnsley Place Partnership - change tracking
Tab 21 – Doncaster Place Partnership
Tab 22– Doncaster Place Partnership - Removed Risk
Tab 23 – Doncaster Place Partnership - change tracking
Tab 24 – Rotherham Place Partnership
Tab 25– Rotherham Place Partnership - Removed Risk
Tab 26 – Rotherham Place Partnership - change tracking
Tab 27 – Sheffield Place Partnership
Tab 28– Sheffield Place Partnership - Removed Risk
Tab 29 – Sheffield Place Partnership - change tracking
</t>
    </r>
    <r>
      <rPr>
        <i/>
        <sz val="11"/>
        <color rgb="FFFF0000"/>
        <rFont val="Arial"/>
        <family val="2"/>
      </rPr>
      <t>The final, unnumbered, tab ‘list’ is for administrative purposes only. Please do not amend this section.</t>
    </r>
  </si>
  <si>
    <t>Risk Scoring Matrix</t>
  </si>
  <si>
    <t>Consequences / Severity</t>
  </si>
  <si>
    <t>Insignificant
1</t>
  </si>
  <si>
    <t>Minor
2</t>
  </si>
  <si>
    <t>Moderate
3</t>
  </si>
  <si>
    <t>Major
4</t>
  </si>
  <si>
    <t>Catastrophic
5</t>
  </si>
  <si>
    <t>Likelihood</t>
  </si>
  <si>
    <t>Rare
1</t>
  </si>
  <si>
    <t>Unlikely
2</t>
  </si>
  <si>
    <t>Possible
3</t>
  </si>
  <si>
    <t>Likely
4</t>
  </si>
  <si>
    <t>Almost Certain
5</t>
  </si>
  <si>
    <t>Low</t>
  </si>
  <si>
    <t>Medium</t>
  </si>
  <si>
    <t>High</t>
  </si>
  <si>
    <t>Very High</t>
  </si>
  <si>
    <t>Extreme</t>
  </si>
  <si>
    <t>15-20</t>
  </si>
  <si>
    <t>Review Frequency</t>
  </si>
  <si>
    <t>Annually</t>
  </si>
  <si>
    <t>Six Monthly</t>
  </si>
  <si>
    <t>Quarterly</t>
  </si>
  <si>
    <t>Monthly</t>
  </si>
  <si>
    <t>Weekly</t>
  </si>
  <si>
    <t>Table 1 Consequence Score (C)</t>
  </si>
  <si>
    <t>Domains</t>
  </si>
  <si>
    <t>Consequence score (severity levels) and examples of descriptors</t>
  </si>
  <si>
    <t> </t>
  </si>
  <si>
    <t>Insignificant</t>
  </si>
  <si>
    <t>Minor</t>
  </si>
  <si>
    <t>Moderate</t>
  </si>
  <si>
    <t>Major</t>
  </si>
  <si>
    <t>Catastrophic</t>
  </si>
  <si>
    <t>Impact on the safety of patients, staff or public (physical/psychological harm)</t>
  </si>
  <si>
    <t>Minimal injury requiring no/minimal intervention or treatment.
No time off work</t>
  </si>
  <si>
    <t>Minor injury or illness requiring minor intervention.
Requiring time off work for &gt; 3 days.
Increase in length of hospital stay by 1-3 days</t>
  </si>
  <si>
    <t>Moderate injury requiring professional intervention.
Requiring time off work for 4-14 days.
Increase in length of hospital stay by 4-15 days.
RIDDOR/agency reportable incident.
An event which impacts on a small number of patients</t>
  </si>
  <si>
    <t>Major injury leading to long-term incapacity/disability.
Requiring time off work for &gt; 14 days.
Increase in length of hospital stay by &gt; 15 days.
Mismanagement of patient care with long-term effects.</t>
  </si>
  <si>
    <t>Incident leading to death.
Multiple permanent injuries or irreversible health effects.
An event which impacts on a large number of patients.</t>
  </si>
  <si>
    <t>Quality/complaints/audit</t>
  </si>
  <si>
    <t xml:space="preserve">Peripheral element of treatment or service suboptimal
Informal complaint/inquiry </t>
  </si>
  <si>
    <t xml:space="preserve">Overall treatment or service suboptimal
Formal complaint (stage 1)
Local resolution
Single failure to meet internal standards
Minor implications for patient safety if unresolved
Reduced performance rating if unresolved </t>
  </si>
  <si>
    <t xml:space="preserve">Treatment or service has significantly reduced effectiveness
Formal complaint (stage 2) complaint
Local resolution (with potential to go to independent review)
Repeated failure to meet internal standards
Major patient safety implications if findings are not acted on </t>
  </si>
  <si>
    <t xml:space="preserve">Non-compliance with national standards with significant risk to patients if unresolved
Multiple complaints/ independent review
Low performance rating
Critical report </t>
  </si>
  <si>
    <t xml:space="preserve">Totally unacceptable level or quality of treatment/service
Gross failure of patient safety if findings not acted on
Inquest/ombudsman inquiry
Gross failure to meet national standards </t>
  </si>
  <si>
    <t xml:space="preserve">Human resources/ organisational development/staffing/ competence </t>
  </si>
  <si>
    <t xml:space="preserve">Short-term low staffing level that temporarily reduces service quality (&lt; 1 day) </t>
  </si>
  <si>
    <t xml:space="preserve">Low staffing level that reduces the service quality </t>
  </si>
  <si>
    <t xml:space="preserve">Late delivery of key objective/ service due to lack of staff
Unsafe staffing level or competence (&gt;1 day)
Low staff morale
Poor staff attendance for mandatory/key training </t>
  </si>
  <si>
    <t xml:space="preserve">Uncertain delivery of key objective/service due to lack of staff
Unsafe staffing level or competence (&gt;5 days)
Loss of key staff
Very low staff morale
No staff attending mandatory/ key training </t>
  </si>
  <si>
    <t xml:space="preserve">Non-delivery of key objective/service due to lack of staff
Ongoing unsafe staffing levels or competence
Loss of several key staff
No staff attending mandatory training /key training on an ongoing basis </t>
  </si>
  <si>
    <t xml:space="preserve">Statutory duty/ inspections </t>
  </si>
  <si>
    <t xml:space="preserve">No or minimal impact or breech of guidance/ statutory duty </t>
  </si>
  <si>
    <t xml:space="preserve">Breech of statutory legislation
Reduced performance rating if unresolved </t>
  </si>
  <si>
    <t xml:space="preserve">Single breech in statutory duty
Challenging external recommendations/ improvement notice </t>
  </si>
  <si>
    <t xml:space="preserve">Enforcement action
Multiple breeches in statutory duty
Improvement notices
Low performance rating
Critical report </t>
  </si>
  <si>
    <t xml:space="preserve">Multiple breeches in statutory duty
Prosecution
Complete systems change required
Zero performance rating
Severely critical report </t>
  </si>
  <si>
    <t xml:space="preserve">Adverse publicity/ reputation </t>
  </si>
  <si>
    <t xml:space="preserve">Rumours
Potential for public concern </t>
  </si>
  <si>
    <t xml:space="preserve">Local media coverage –
short-term reduction in public confidence
Elements of public expectation not being met </t>
  </si>
  <si>
    <t xml:space="preserve">Local media coverage –
long-term reduction in public confidence </t>
  </si>
  <si>
    <t xml:space="preserve">National media coverage with &lt;3 days service well below reasonable public expectation </t>
  </si>
  <si>
    <t xml:space="preserve">National media coverage with &gt;3 days service well below reasonable public expectation. MP concerned (questions in the House)
Total loss of public confidence </t>
  </si>
  <si>
    <t xml:space="preserve">Business objectives/ projects </t>
  </si>
  <si>
    <t xml:space="preserve">Insignificant cost increase/ schedule slippage </t>
  </si>
  <si>
    <t xml:space="preserve">&lt;5 per cent over project budget
Schedule slippage </t>
  </si>
  <si>
    <t xml:space="preserve">5–10 per cent over project budget
Schedule slippage </t>
  </si>
  <si>
    <t xml:space="preserve">Non-compliance with national 10–25 per cent over project budget
Schedule slippage
Key objectives not met </t>
  </si>
  <si>
    <t xml:space="preserve">Incident leading &gt;25 per cent over project budget
Schedule slippage
Key objectives not met </t>
  </si>
  <si>
    <t xml:space="preserve">Finance including claims </t>
  </si>
  <si>
    <t>Small loss Risk of claim remote</t>
  </si>
  <si>
    <t xml:space="preserve">Loss of 0.1–0.25 per cent of budget
Claim less than £10,000 </t>
  </si>
  <si>
    <t xml:space="preserve">Loss of 0.25–0.5 per cent of budget
Claim(s) between £10,000 and £100,000 </t>
  </si>
  <si>
    <t xml:space="preserve">Uncertain delivery of key objective/Loss of 0.5–1.0 per cent of budget
Claim(s) between £100,000 and £1 million
Purchasers failing to pay on time </t>
  </si>
  <si>
    <t>Non-delivery of key objective/ Loss of &gt;1 per cent of budget
Failure to meet specification/ slippage
Loss of contract / payment by results
Claim(s) &gt;£1 million</t>
  </si>
  <si>
    <t xml:space="preserve">Service/business interruption Environmental impact </t>
  </si>
  <si>
    <t xml:space="preserve">Loss/interruption of &gt;1 hour
Minimal or no impact on the environment </t>
  </si>
  <si>
    <t xml:space="preserve">Loss/interruption of &gt;8 hours
Minor impact on environment </t>
  </si>
  <si>
    <t xml:space="preserve">Loss/interruption of &gt;1 day
Moderate impact on environment </t>
  </si>
  <si>
    <t xml:space="preserve">Loss/interruption of &gt;1 week
Major impact on environment </t>
  </si>
  <si>
    <t xml:space="preserve">Permanent loss of service or facility
Catastrophic impact on environment </t>
  </si>
  <si>
    <t>Table 2 Likelihood Score (L)</t>
  </si>
  <si>
    <t>Likelihood Score</t>
  </si>
  <si>
    <t>Descriptor</t>
  </si>
  <si>
    <t xml:space="preserve">Frequency
How often might it/does it happen </t>
  </si>
  <si>
    <t xml:space="preserve">This will probably never happen/recur </t>
  </si>
  <si>
    <t>Do not expect it to happen/recur but it is possible it may do so</t>
  </si>
  <si>
    <t>Might happen or recur occasionally</t>
  </si>
  <si>
    <t>Will probably happen/recur but it is not a persisting issue</t>
  </si>
  <si>
    <t>Will undoubtedly happen/recur, possibly frequently</t>
  </si>
  <si>
    <t>RACI Model</t>
  </si>
  <si>
    <t>Who is responsible for implementation</t>
  </si>
  <si>
    <t>Who is accountable for the task completion</t>
  </si>
  <si>
    <t>Who is consulted during process</t>
  </si>
  <si>
    <t>Who should be informed when project complete</t>
  </si>
  <si>
    <t>Glossary of Terms</t>
  </si>
  <si>
    <t>Term</t>
  </si>
  <si>
    <t>Definition</t>
  </si>
  <si>
    <t>Action</t>
  </si>
  <si>
    <t>The process and steps undertaken to achieve an aim</t>
  </si>
  <si>
    <t>Assurance</t>
  </si>
  <si>
    <t>Mechanisms we have in place to test the controls</t>
  </si>
  <si>
    <t>Assurance Level</t>
  </si>
  <si>
    <t>A measure of the strength / authentication mechanism and therefore the confidence in it.  Assessed as 'low', 'medium' or 'high'</t>
  </si>
  <si>
    <t xml:space="preserve">Cause of Risk </t>
  </si>
  <si>
    <t>This is a description of why something could go wrong</t>
  </si>
  <si>
    <t>Control</t>
  </si>
  <si>
    <t>Controls in place to manage the risk; these are the actions that can be taken to manage or eliminate risk</t>
  </si>
  <si>
    <t>Gaps in Control</t>
  </si>
  <si>
    <t>Actions that have not been undertaken</t>
  </si>
  <si>
    <t>Impact of Risk</t>
  </si>
  <si>
    <t>The the consequence should the risk occur</t>
  </si>
  <si>
    <t>Mitigating Actions</t>
  </si>
  <si>
    <t>Actions we need to take, or mechanisms we need to put in place</t>
  </si>
  <si>
    <t>BAF</t>
  </si>
  <si>
    <t>CORPORATE RISK REGISTER</t>
  </si>
  <si>
    <t>ISSUES LOG</t>
  </si>
  <si>
    <t>Ref</t>
  </si>
  <si>
    <t xml:space="preserve">How is the Board Assured that </t>
  </si>
  <si>
    <t>Delegated to</t>
  </si>
  <si>
    <t xml:space="preserve">Principal Oversight 
Committees that must be in the Governance Structure (Board, Sub-committee, Place Committee, SLE, QSG)
</t>
  </si>
  <si>
    <t>RACI</t>
  </si>
  <si>
    <t>Source of Risk</t>
  </si>
  <si>
    <t>Link to Risk Register/Issues Log</t>
  </si>
  <si>
    <t>What would be required to reduce the risk?</t>
  </si>
  <si>
    <t>Residual Score</t>
  </si>
  <si>
    <t>Potential audit area</t>
  </si>
  <si>
    <t>Initial Risk Score</t>
  </si>
  <si>
    <t xml:space="preserve">Objective 1: Improve Outcomes in Population Health and Healthcare - Executive Leads - Chief Medical Officer/Chief Nurse </t>
  </si>
  <si>
    <t xml:space="preserve">Risk Appetite
9 </t>
  </si>
  <si>
    <t>Objective 2:  Tackle Inequalities in Outcomes, Experience and Access - Executive Lead - Chief Medical Officer</t>
  </si>
  <si>
    <t>Objective 3:  Enhance Productivity and Value for Money  - Executive Lead - Chief Finance Officer</t>
  </si>
  <si>
    <t xml:space="preserve">Objective 4:  Help the NHS Support Broader Social and Economic Value - Executive Lead, Director of Strategy &amp; Partnerships </t>
  </si>
  <si>
    <t>OVERSIGHT</t>
  </si>
  <si>
    <t>ASSURANCE</t>
  </si>
  <si>
    <t>Residual Risk Score</t>
  </si>
  <si>
    <t>Place</t>
  </si>
  <si>
    <t>Category</t>
  </si>
  <si>
    <t>Domain</t>
  </si>
  <si>
    <t>Link to Board Assurance Framework</t>
  </si>
  <si>
    <t>Risk Description</t>
  </si>
  <si>
    <t xml:space="preserve">Impact </t>
  </si>
  <si>
    <t>Score</t>
  </si>
  <si>
    <t>Mitigation / Treatment</t>
  </si>
  <si>
    <t>Lead risk owner</t>
  </si>
  <si>
    <r>
      <t>Likelihood</t>
    </r>
    <r>
      <rPr>
        <b/>
        <sz val="11"/>
        <color theme="3"/>
        <rFont val="Arial"/>
        <family val="2"/>
      </rPr>
      <t>.</t>
    </r>
  </si>
  <si>
    <t>Impact</t>
  </si>
  <si>
    <t xml:space="preserve">Residual Score </t>
  </si>
  <si>
    <t>Date risk assessed</t>
  </si>
  <si>
    <t>Next assessment due</t>
  </si>
  <si>
    <t>Days Overdue</t>
  </si>
  <si>
    <t>Person Responsible for Updates</t>
  </si>
  <si>
    <t xml:space="preserve">Progress / Update </t>
  </si>
  <si>
    <t>Date for reassessment</t>
  </si>
  <si>
    <t xml:space="preserve">Assurance </t>
  </si>
  <si>
    <t xml:space="preserve">Oversight </t>
  </si>
  <si>
    <t>Date added to RR</t>
  </si>
  <si>
    <t>Month added to RR</t>
  </si>
  <si>
    <t>Number of days open</t>
  </si>
  <si>
    <t>Commentary to Support Review</t>
  </si>
  <si>
    <t>Initial Risk</t>
  </si>
  <si>
    <t>Residual Risk</t>
  </si>
  <si>
    <t>RPP001</t>
  </si>
  <si>
    <t>Rotherham</t>
  </si>
  <si>
    <t xml:space="preserve">1,2,5,6,8 </t>
  </si>
  <si>
    <t>1.2,2.1,2.2</t>
  </si>
  <si>
    <t>There is a risk that the reconfiguration of RDaSH Rehabilitation Pathways may increase demand for acute services through increased delays in the whole pathway (leading to a possible increase in OOA placements)</t>
  </si>
  <si>
    <t>Accountable</t>
  </si>
  <si>
    <t xml:space="preserve">RDASH to present to the Place Leadership Team (Nov 2023) evidence and service benefit/impact review of the decision to reconfigure rehabilitation pathways to decrease bed base whilst increasing community offer. Place partners to feedback and support in review of pathway design in order to mitigate risks across the to patients and partners  </t>
  </si>
  <si>
    <t>Claire Smith SYICB (Place Partnership)</t>
  </si>
  <si>
    <t>Rotherham PET</t>
  </si>
  <si>
    <t>6.10.23</t>
  </si>
  <si>
    <t>Claire Smith Deputy Place Director (Rotherham)</t>
  </si>
  <si>
    <t xml:space="preserve">Monthly </t>
  </si>
  <si>
    <t xml:space="preserve">Place Leadership Team </t>
  </si>
  <si>
    <t>RPP004</t>
  </si>
  <si>
    <t xml:space="preserve">Financial posiiton and required savings/efficenies across Place </t>
  </si>
  <si>
    <t>1,2,3,4,5,6,7,8</t>
  </si>
  <si>
    <t xml:space="preserve">Financial Position across Place Partners - there is a risk that the significant financial challenge across Place Partners leads to organisational decisions on service delivery (including reduction or ceasing provision) that impact negative on Place Partners and the overall outcomes/health and weelbeing of the Rotherham populations </t>
  </si>
  <si>
    <t xml:space="preserve">Rotherham Place Leadership Board, refreshed Place Plan 23-25 with clear Place Priorities. Formal processes in place for escalation across partners in weekly PLT meetings. Finance executive leads meet regulalry with oversight at Board level. </t>
  </si>
  <si>
    <t xml:space="preserve">Claire Smith SYICB (Place Partnership) Wendy Allott SYICB Chief Finance Officer </t>
  </si>
  <si>
    <t>Rotherham Place Leadership Board &amp; Rotherham Place Executive Team</t>
  </si>
  <si>
    <t xml:space="preserve">Wendy Allott / Claire Smith </t>
  </si>
  <si>
    <t>RPP006</t>
  </si>
  <si>
    <t>Infection Prevention and Control (IPC) Provision</t>
  </si>
  <si>
    <t>There is a risk that Rotherham Place does not have sufficient resources in place to support Infection Prevention and Control initiatives across community settings. This may result in increased risk of infections within care settings and also a reduced ability to respond to incidents and emerging risk within the Rotherham Health and Care System.</t>
  </si>
  <si>
    <t>Discussions are underway across the Partnership to understand the potential options around resource. A paper describing the challenge, risks and options has been prepared by the Director of Public Health with support from the ICB.</t>
  </si>
  <si>
    <t>Chris Edwards (Executive Place Director Rotherham) / Claire Smith SYICB (Place Partnership) &amp; Andrew Russell Chief Nurse</t>
  </si>
  <si>
    <t>Andrew Russell/Claire Smith</t>
  </si>
  <si>
    <t>Updated - 07.06.24</t>
  </si>
  <si>
    <t>Rotherham Place Board</t>
  </si>
  <si>
    <t>1-3</t>
  </si>
  <si>
    <t>4-6</t>
  </si>
  <si>
    <t>8-12</t>
  </si>
  <si>
    <t>2.2, 2.4, 4.13.1, 4.13.2</t>
  </si>
  <si>
    <t>2.3.1, 2.6</t>
  </si>
  <si>
    <t>1.4.1, 1.6.3, 1.9.2, 1.10, 3.6</t>
  </si>
  <si>
    <t>2.1.</t>
  </si>
  <si>
    <t>3.4, 4.6, 4.12</t>
  </si>
  <si>
    <t>1.1, 1.1.1, 1.2, 1.3, 1.7, 2.5, 2.9, 3.5</t>
  </si>
  <si>
    <t>0.1.2</t>
  </si>
  <si>
    <t>0.1.1, 4.3</t>
  </si>
  <si>
    <t>SY106, SY125</t>
  </si>
  <si>
    <t>SY079, SY107, SY130</t>
  </si>
  <si>
    <t>SY004, SY017</t>
  </si>
  <si>
    <t>SY019, SY049, SY062, SY078, SY103</t>
  </si>
  <si>
    <t>SY006, SY016, SY044, SY082, SY112</t>
  </si>
  <si>
    <t>SY021, SY108, SY113, SY123</t>
  </si>
  <si>
    <t>SY131</t>
  </si>
  <si>
    <t>SY011</t>
  </si>
  <si>
    <t>SY040, SY061, SY063, SY066, SY069, SY091, SY107</t>
  </si>
  <si>
    <t>SY028, SY115, SY116, SY117, SY124, SY128, SY132</t>
  </si>
  <si>
    <t>SY042</t>
  </si>
  <si>
    <t>IL07, IL08, IL09, IL20</t>
  </si>
  <si>
    <t>IL19</t>
  </si>
  <si>
    <t>IL17</t>
  </si>
  <si>
    <t>IL03, IL12, IL13</t>
  </si>
  <si>
    <t>IL18</t>
  </si>
  <si>
    <t>Updated 05.08.2024</t>
  </si>
  <si>
    <t>Audit and Risk</t>
  </si>
  <si>
    <t>Finance and Investment</t>
  </si>
  <si>
    <t>OE (?FE)</t>
  </si>
  <si>
    <t>People Workforce and Culture</t>
  </si>
  <si>
    <t>QIPPE</t>
  </si>
  <si>
    <t>Barnsley Place Committee</t>
  </si>
  <si>
    <t>Doncaster Place Committee</t>
  </si>
  <si>
    <t>Rotherham Place Committee</t>
  </si>
  <si>
    <t>Sheffield Place Committee</t>
  </si>
  <si>
    <t>South Yorkshire IG Group</t>
  </si>
  <si>
    <t>SY ICB Health and Safety Group</t>
  </si>
  <si>
    <t>Medicines Optimisation Assurance Group</t>
  </si>
  <si>
    <t>Local  Health Resillience Partnership (LHRP)</t>
  </si>
  <si>
    <t>SY UEC Alliance Board</t>
  </si>
  <si>
    <t>Palliative End of Life Care Strategic and Transformation Board</t>
  </si>
  <si>
    <t>Infection Control Group</t>
  </si>
  <si>
    <t>Primary Care Committee</t>
  </si>
  <si>
    <t>System Quality Group</t>
  </si>
  <si>
    <t>Operational Executive (?FE)</t>
  </si>
  <si>
    <t>Below Risk Appetite</t>
  </si>
  <si>
    <t>Funding pay rise announcements</t>
  </si>
  <si>
    <t>Pay settlements are being made with e.g. Junior doctors,consultants and further discussions are happening with all settings including social care and the voluntary sector. The risk is that these pay wards are not funded in all sectors</t>
  </si>
  <si>
    <t>Progress/ Updates</t>
  </si>
  <si>
    <t>Date Reviewed</t>
  </si>
  <si>
    <t>Due for Review</t>
  </si>
  <si>
    <t>Disproportionate impact for those experiencing health inequalities due to changes in the Maternity Tobacco Delivery Model within the Rotherham Maternity service</t>
  </si>
  <si>
    <t>There is a risk that changes to the Maternity Tobacco Delivery Model within the Rotherham Maternity service will impact service uptake and outcomes and progress towards the national safety ambition to reduce still birth, neonatal mortality, maternal mortality and serious intrapartum brain injuries disproportionately on those experiencing adverse wider determinants of health including those from areas of highest deprivation.</t>
  </si>
  <si>
    <t xml:space="preserve">Reconfiguration of the Midwifery Service to continue to meet the NHS Long Term Plan commitments on smoking and health inequalities which include a smokefree pregnancy pathway.
Further reducing demand for the service (due to the national success of the Public Health stop smoking campaign) and introduction of new innovations that have just commenced these include swap to stop ( Swapping smoking for a vape) and maternity incentives which rolls out in November incentivising women who choose to stop smoking.
Although recommended, it is not a mandatory requirement to have a specialist midwife within the service providing training and support, the requirement is for appropriate clinical leadership. The specialist midwife (and TDA) should cease delivery of additional training/ coaching.
Improve links between the midwifery service and the community service (connect) to provide additional support and resilience to the training offer (e.g. eLearning package via NCSCT) 
Reduced referrals, streamlined engagement requirement of incentive scheme and prioritisation of the offer of the minimum standard (max 4+6 face to face sessions) with TDA.  (Cease delivery of additional sessions/ acceptance of re-referrals.)
Develop a priority pathway to the community service for pregnant women and/ or partners who require support face to face TDA appointments beyond birth, including continued access to Nicotine Replacement Therapy (NRT) beyond birth.
Develop a priority relapse prevention pathway (postnatally) with the community service.
Permanently reconfigure the Community matron specification to link into pathway development work to improve feedback loop and ensure learning informs improved patient experience. 
The ICB meets monthly with the trust re contract performance and will monitor activity/impact 
</t>
  </si>
  <si>
    <t>02.09.24</t>
  </si>
  <si>
    <t xml:space="preserve"> </t>
  </si>
  <si>
    <t>Place/ICB</t>
  </si>
  <si>
    <t>Link to BAF/RR</t>
  </si>
  <si>
    <t>Link to RR</t>
  </si>
  <si>
    <t>Issue Description</t>
  </si>
  <si>
    <t>Lead Issue Owner</t>
  </si>
  <si>
    <t>Source of Issue</t>
  </si>
  <si>
    <t>Date reviewed</t>
  </si>
  <si>
    <t>Overdue?</t>
  </si>
  <si>
    <t>Person Responsible for Update</t>
  </si>
  <si>
    <t>Update</t>
  </si>
  <si>
    <t>Oversight</t>
  </si>
  <si>
    <t>Date added to IL</t>
  </si>
  <si>
    <t>Days Open</t>
  </si>
  <si>
    <t>Comments</t>
  </si>
  <si>
    <t>Accountable Officer</t>
  </si>
  <si>
    <t>1st Line of Defence - Risk Ownership/ Front Line
e.g. operational processes, project risk and control activity, business level monitoring
CONTROLS</t>
  </si>
  <si>
    <t>2nd Line of Defence - Risk Management' Corporate Oversight Functions
e.g. Finance, IT, Business Support, HR and Payroll
INTERNAL ASSURANCE</t>
  </si>
  <si>
    <t>3rd Line of Defence - External and internal audit, CIC Regulator, CQC, Monitor. 
e.g. Monitor compliance and provide independent challenge and assurance
EXTERNAL ASSURANCE</t>
  </si>
  <si>
    <t>Risk Appetite   = 9
Initial Risk Score</t>
  </si>
  <si>
    <t>Gaps in Control - 
Controls in place to manage the risk; these are the actions that can be taken to manage or eliminate risk</t>
  </si>
  <si>
    <t xml:space="preserve">Gaps in Assurance
Assurances are the 'Mechanisms we have in place to test the controls'
</t>
  </si>
  <si>
    <r>
      <t xml:space="preserve">Assurance Level
</t>
    </r>
    <r>
      <rPr>
        <sz val="12"/>
        <color theme="0"/>
        <rFont val="Arial"/>
        <family val="2"/>
      </rPr>
      <t>A measure of the strength / authentication mechanism and therefore the confidence in it.  Assessed as 'low confidence', 'medium confidence' or 'high confidence'</t>
    </r>
  </si>
  <si>
    <r>
      <t xml:space="preserve">Rationale for assurance level
</t>
    </r>
    <r>
      <rPr>
        <sz val="12"/>
        <color theme="0"/>
        <rFont val="Arial"/>
        <family val="2"/>
      </rPr>
      <t>What can be evidenced to show that the controls are in place are working effectively to manage the risk which will support stakeholder confidence.</t>
    </r>
  </si>
  <si>
    <r>
      <t xml:space="preserve">ACTIONS - that need taking to address the gap identified in columns 'M' and 'N'.
</t>
    </r>
    <r>
      <rPr>
        <sz val="12"/>
        <color theme="0"/>
        <rFont val="Arial"/>
        <family val="2"/>
      </rPr>
      <t xml:space="preserve">All actions below must be SMART (Specific, Measurable, Achievable, Resourced and Timely)
** not an action
</t>
    </r>
  </si>
  <si>
    <t>Likelihood.</t>
  </si>
  <si>
    <r>
      <t xml:space="preserve">Mental Health Services
</t>
    </r>
    <r>
      <rPr>
        <b/>
        <i/>
        <sz val="12"/>
        <rFont val="Arial"/>
        <family val="2"/>
      </rPr>
      <t>**TO BE REMOVED FROM THE RISK REGISTER**</t>
    </r>
  </si>
  <si>
    <r>
      <t xml:space="preserve">Rdash informed SYICB colleagues of the decision to reconfigure pathways mid-sept, this was discussed at our PLT on 4th October with a request for RDASH to present to the group evidence and impact assurance for the model. This will be appriased by Place colleagues and support provided to ensure all risks are mitigated </t>
    </r>
    <r>
      <rPr>
        <b/>
        <sz val="12"/>
        <rFont val="Arial"/>
        <family val="2"/>
      </rPr>
      <t xml:space="preserve">update 1/11/23. </t>
    </r>
    <r>
      <rPr>
        <sz val="12"/>
        <rFont val="Arial"/>
        <family val="2"/>
      </rPr>
      <t xml:space="preserve">Risk reassessed as presentation and report submitted to PLT which has given further assurnace on impact. there will be 20% increase in community capcity with approach now over 7 days instead of 5. </t>
    </r>
    <r>
      <rPr>
        <b/>
        <sz val="12"/>
        <rFont val="Arial"/>
        <family val="2"/>
      </rPr>
      <t xml:space="preserve">update 1/12/23 </t>
    </r>
    <r>
      <rPr>
        <sz val="12"/>
        <rFont val="Arial"/>
        <family val="2"/>
      </rPr>
      <t xml:space="preserve">report to board discussed. monitoring imoact in coming weeks </t>
    </r>
    <r>
      <rPr>
        <b/>
        <sz val="12"/>
        <rFont val="Arial"/>
        <family val="2"/>
      </rPr>
      <t xml:space="preserve">22/12 update </t>
    </r>
    <r>
      <rPr>
        <sz val="12"/>
        <rFont val="Arial"/>
        <family val="2"/>
      </rPr>
      <t>continue to monitor but low risk</t>
    </r>
    <r>
      <rPr>
        <b/>
        <sz val="12"/>
        <rFont val="Arial"/>
        <family val="2"/>
      </rPr>
      <t xml:space="preserve"> 1/3/24 - </t>
    </r>
    <r>
      <rPr>
        <sz val="12"/>
        <rFont val="Arial"/>
        <family val="2"/>
      </rPr>
      <t>No further update on position work ongoing.</t>
    </r>
    <r>
      <rPr>
        <b/>
        <sz val="12"/>
        <rFont val="Arial"/>
        <family val="2"/>
      </rPr>
      <t xml:space="preserve"> April update</t>
    </r>
    <r>
      <rPr>
        <sz val="12"/>
        <rFont val="Arial"/>
        <family val="2"/>
      </rPr>
      <t xml:space="preserve"> - OOA placements are increasing but no evidence as yet linked will monitor and request an update at a Place Board in coming months. May Update - Julie Thornton will be presenting an update on Goldcrest closure and a review of any impact/actions taken to mitgate at Board this month. This may see this risk come off our registe</t>
    </r>
    <r>
      <rPr>
        <b/>
        <sz val="12"/>
        <rFont val="Arial"/>
        <family val="2"/>
      </rPr>
      <t>r.</t>
    </r>
    <r>
      <rPr>
        <sz val="12"/>
        <rFont val="Arial"/>
        <family val="2"/>
      </rPr>
      <t xml:space="preserve"> </t>
    </r>
    <r>
      <rPr>
        <b/>
        <sz val="12"/>
        <rFont val="Arial"/>
        <family val="2"/>
      </rPr>
      <t>June update:</t>
    </r>
    <r>
      <rPr>
        <sz val="12"/>
        <rFont val="Arial"/>
        <family val="2"/>
      </rPr>
      <t xml:space="preserve"> Julie Thornton presented a paper which highlighted the current position favourably, there doesnt seem to have been an impact due to the closure with additonal capacity being freed up to support in the community. The data analysis was only from a short period so risk remains for a further 3 mths until a more detail review takes place.</t>
    </r>
    <r>
      <rPr>
        <b/>
        <sz val="12"/>
        <rFont val="Arial"/>
        <family val="2"/>
      </rPr>
      <t xml:space="preserve"> </t>
    </r>
    <r>
      <rPr>
        <b/>
        <i/>
        <sz val="12"/>
        <rFont val="Arial"/>
        <family val="2"/>
      </rPr>
      <t xml:space="preserve">OCT - as reported to PLT, since the change of pathway there has been  0 patients admitted to an out of area rehab bed and 0 concerns raised.  Agreed this can be removed from the risk register.
</t>
    </r>
  </si>
  <si>
    <t xml:space="preserve">RRP 0010 </t>
  </si>
  <si>
    <r>
      <rPr>
        <b/>
        <sz val="12"/>
        <rFont val="Arial"/>
        <family val="2"/>
      </rPr>
      <t>Actions:</t>
    </r>
    <r>
      <rPr>
        <sz val="12"/>
        <rFont val="Arial"/>
        <family val="2"/>
      </rPr>
      <t xml:space="preserve">
Work with NHSE to understand funding streams to assess what is funded centrally and communicate risks to providers</t>
    </r>
  </si>
  <si>
    <t xml:space="preserve">Anthony Fitzgerald SYICB </t>
  </si>
  <si>
    <t xml:space="preserve">RRP 0011 </t>
  </si>
  <si>
    <t>Claire Smith SYICB (Place Partnership) / Emily Parry-Harries (Director of Public Health, RMBC)</t>
  </si>
  <si>
    <t>RRP 0012</t>
  </si>
  <si>
    <t>Temporary Closure of Brambles</t>
  </si>
  <si>
    <t xml:space="preserve">There is a risk that the unexpected temporary  closure of Bramples older people's ward impacts on the ability to place Rotherham patients in our local beds creating OOA placements.  </t>
  </si>
  <si>
    <t xml:space="preserve">Review through Place Board updates regularly, Increased monitoring of No criteria to reside in beds to improve flow and ensure Rotherham patients can be supported in Glades. Escalation through executives where delays occur. Brambles had to be temporary  closed due to staffing pressures in late December, RDaSH communitcated well to ICB Place and partners and have taken a number of actions to prevent OOA placements. The Brambles unit is positioned in the same building as another bedded unit and both have not been fully utilised. RDaSH are trying to support all Rotherham Patients within the capacity at Glades. This is being monitored and to date there has been no OOA (out of Doncaster/NL) placement. Some patients have been placed in Doncaster and this is being monitored. The partners are also supporting with ensuring flow through beds in a timely manner </t>
  </si>
  <si>
    <t>06.02.25</t>
  </si>
  <si>
    <t>RRP 0014
**NEW**</t>
  </si>
  <si>
    <t>Healthwatch Risk</t>
  </si>
  <si>
    <t>If central government amends the Health &amp; Social Care Act to remove Healthwatch’s statutory obligations, Healthwatch Rotherham (HWR) may be abolished and its core functions (independent community engagement, local intelligence gathering, and scrutiny) transferred directly to the Integrated Care Board (ICB) and Rotherham Metropolitan Borough Council (RMBC). This legislative change could force the closure of HWR, interrupt ongoing projects and community feedback loops, weaken independent challenge in health and social care decision-making, and place existing staff at high risk of redundancy.</t>
  </si>
  <si>
    <t xml:space="preserve">This will be an identified risk across SYICB and as such is escalated internally, Rotherham Place including both the ICB and Council will continue to support Healthwatch as a valued partner as clarity emerges nationally on the proposed model. At a local level there is acknowledgement of the positive role played by Healthwatch in our partnership. </t>
  </si>
  <si>
    <t>Kym Gleeson</t>
  </si>
  <si>
    <t>08.10.25</t>
  </si>
  <si>
    <r>
      <t>Discussion have taken place with partners through the PLT regarding working collaboratively on any MTFS plans. Shared understanding of financial positions has been discussed and continues to be an agenda item at Board. Commitment across Place to leave noone behind - in terms of understanding impact across Place partners of any decisions on savings/efficenies. Joint roles in place in commissioning that support integration across Place on decision making. 22/12 update our 4 transformational and efficency projects have been agreed at Place Board t&amp;f groups will be established for these in new year and there will be updates for assurance to board as well as within ICB. work continues to ensure any decisions are shared across Place including Cuoncil sharing of there financial planning for 24-25 consultation out. 1/3/24 Finance is being taken through Place Board regualrly from Place partners collectively. PET: 06.03.24 - further review to take place April/May when there is better understanding of the financial regime for 24/25. May/June Update:  Risk asssed and to remain as is.  AUGUST UPDATE: 07/08/24 M3 ICB position went to  FIC 02/08/24- awaiting feedback on any required actions/further impacts on Place. Leave risk as is for now. 29/08/24 Update from CE following exec/national meeting- ICB financial performance under national scrutiny / monitoring. Additional scruitiny on efficiency plans across the ICB/ICS in progress. October - Leave as is for now, November - no change, December No Change. March - 24-25 year end being worked through and a proposed financial allocation across providers is being worked up for 25 26, the plans have significant risk in terms of the savings identifed and there is also a remaining defifict of over 100m.  APRIL - no further update. May - final allocations to budget holders including at Place are expected imminently, there has been agreement with NHSE to reach a balance plan but there is significant risk in achieving this. June - position remains as is July - No change work continues on demand management and efficencies within contracted services. Sept- the ICB is in turnaround due to the ongoing financial pressures, Rotherham Place team have supported the idenfication of in year non recurrent and recurrent savings to support the overall deficit position, any service changes have been through appropriate governance and EQIA. November - the Place team continue to review services to ensure VFM where appropriate and planning has commenced for 26 27 including development of commissioning intentions that brings spending in line with budgets. December - no further update Jan - work continues but not finalised as yet for next financial year.</t>
    </r>
    <r>
      <rPr>
        <b/>
        <sz val="12"/>
        <color rgb="FF0070C0"/>
        <rFont val="Arial"/>
        <family val="2"/>
      </rPr>
      <t xml:space="preserve"> Feb - no further update</t>
    </r>
  </si>
  <si>
    <r>
      <t xml:space="preserve">Options for non recurrent funding via IBCF is being discussed with a longer term solution required
PET: 06.03.24  further work is taking place with the DPH to mitigate risk.
April Update: Note 1 years funding has been secured and options are being worked up to reduce the risk based on that, but that there is no long term solution identified as yet to fund a Community IPC Service substantively. May/June Update - this remains an issue Rotherham is only LA in SY that doesnt have a resource for IPC, there has been a committment from BCF for one year but nothing recurrently which remains the concern. September update: Continued discussion with LA/TRFT with support from SY ICB in relatgion to achievable models with the 1 year funding (pilot provision for 12mths from IBCF funding.). No implememntation has yet been agreed. October, November, December - no further update. February - second joint SMT with RMBC which covers partnership working in financial context, supporting mitigation of the risks. Posiiton for 25 26 is being worked through as planning guidance has just been published 
March Update: Senior PH Practitioners began some work on CIPC, pulling together a Care Home IPC Champions group that now covers over 80% of Rotherham’s homes.  That role has gradually transitioned into being 100% within the Health protection team with line management moving over and it will now predominantly focus on community IPC and undertaking proactive IPC audit work with homes as well as providing IPC support in outbreaks.  
The next step has been the identify funding for an IPC nurse to support the community work.  Resource for a 0.5wte post will be available from September and work is taking place to find additional resource to make this a full time post. An update will be received at 2 April PLT.  APRIL: Update received at PLT 2 April, options discussed but still work to do.May position is the same. June position remains the same. July Update:  regarding the work of the Senior PH Practitioner to provide IPC support to care home - only 5 care homes remaining to be included within the IPC Champions network.   Old person care home IPC audits: 23 carried out; with the remaining 16 to be completed by end of October.
With respect to IPC Nurse capacity, the situation is currently as it was – recruitment to 0.5FTE expected in the Autumn, but additional funding opportunities are being explored to enhance this. December no change to above 
Jan - team not fully recruited to bu the LA now have dedicated ongoing support in place, risk to be reduced </t>
    </r>
    <r>
      <rPr>
        <b/>
        <sz val="12"/>
        <color rgb="FF0070C0"/>
        <rFont val="Arial"/>
        <family val="2"/>
      </rPr>
      <t>Feb - no further update</t>
    </r>
  </si>
  <si>
    <r>
      <t xml:space="preserve">September: Awaiting guidance from NHSE. November/December no update Feb Update: planning guidance just published and working through impact of this. March - settlement for collective action reach Nationally however, indications are that there will remain risks to ongoing provision of shared care/LES etc .  APRIL: No further udpate.  MAY - NO FURTHER UDPATE JUNE - NO FURTHER UDPATE. July Remains a risk but no confirmation of any further action planned. Sept - no change December - strike action took place last month and further action is planned for the 17th December, the ICB place team are working with providers to ensure plans are in place to mitigate risks
</t>
    </r>
    <r>
      <rPr>
        <b/>
        <sz val="12"/>
        <color rgb="FF0070C0"/>
        <rFont val="Arial"/>
        <family val="2"/>
      </rPr>
      <t>Jan - strike action didnt not create any significant impact specifically related to strikes but system pressures were high due to winter demand</t>
    </r>
  </si>
  <si>
    <r>
      <t xml:space="preserve">November Update: Partners are working collaboratvely to address the gaps and mitigate risk through reconfiguration of provision. Any risidual risk will be consider at this point. PLT have has a number of updates on progress and continue to be received. TRFT continue to express concern in the ending of the funding.  December Update the same as November. Feb Update:  Discussed at Jan board given expected TRFT impact, actions were taken between TRFT and BA to support undertsanding of community offer. ongoing monitoring of impact. March - no further update.  March - no further update May - ICB met with TRFT to discuss residual risk, TRFT were to monitor impact internal (ICB monitoring through HI data analysis to Place Board) and provide feedback to RMBC/ICB if required on the gaps in provision June no known impact raised to date, this is being monitored. July TRFT have produced an impact assessment which is to be considered by RMBC Public Health. Sept this remains under review. November - trft continue to review the position and are in conversation with public health colleagues around opportunities to mitigate residual risks. December - no further update. </t>
    </r>
    <r>
      <rPr>
        <sz val="12"/>
        <color theme="1"/>
        <rFont val="Arial"/>
        <family val="2"/>
      </rPr>
      <t>Jan - no further updates this month</t>
    </r>
    <r>
      <rPr>
        <b/>
        <sz val="12"/>
        <color rgb="FF0070C0"/>
        <rFont val="Arial"/>
        <family val="2"/>
      </rPr>
      <t xml:space="preserve">  </t>
    </r>
    <r>
      <rPr>
        <sz val="12"/>
        <rFont val="Arial"/>
        <family val="2"/>
      </rPr>
      <t xml:space="preserve"> </t>
    </r>
    <r>
      <rPr>
        <b/>
        <sz val="12"/>
        <color rgb="FF0070C0"/>
        <rFont val="Arial"/>
        <family val="2"/>
      </rPr>
      <t>Feb - no further update</t>
    </r>
  </si>
  <si>
    <t>Andre Brankin</t>
  </si>
  <si>
    <t>Christina Harrison</t>
  </si>
  <si>
    <r>
      <t xml:space="preserve">Brambles had to be temporary closed due to staffing pressures in late December, RDaSH communitcated well to ICB Place and partners and have taken a number of actions to prevent OOA placements. The Brambles unit is positioned in the same building as another bedded unit and both have not been fully utilised. RDaSH are trying to support all Rotherham Patients within the capacity at Glades. This is being monitored and to date there has been no OOA (out of Doncaster/NL) placement. Some patients have been placed in Doncaster and this is being monitored. The partners are also supporting with ensuring flow through beds in a timely manner March - no further update.  APRIL: RDASH are to share that paper on proposals with partners - agreement on which meeting this will go to by CE and TL. MAY - NO FURTHER UDPATE. June - TL attended the place board in may to discuss the RDASH Board decision and next steps. agreed that ICB and partners would meet to look at how worked collaboratively to shape the model for investment into community July Update ICB met with RMBC and RDASH to discuss community offer and engagement with partners on pathways. RDASH are pulling together options which will be shared with partners for comment in terms of next steps 
No Older Adults have been placed out of area since the closure on 31st December 2024. 
</t>
    </r>
    <r>
      <rPr>
        <sz val="12"/>
        <color theme="1"/>
        <rFont val="Arial"/>
        <family val="2"/>
      </rPr>
      <t xml:space="preserve">In January – May 2025 there were 14 older adults cared for elsewhere in the RDaSH footprint, in the same timescale (5 months) prior to the closure there were 15. </t>
    </r>
    <r>
      <rPr>
        <sz val="12"/>
        <rFont val="Arial"/>
        <family val="2"/>
      </rPr>
      <t xml:space="preserve">
Jan - no further updates this month</t>
    </r>
    <r>
      <rPr>
        <b/>
        <sz val="12"/>
        <color rgb="FF0070C0"/>
        <rFont val="Arial"/>
        <family val="2"/>
      </rPr>
      <t xml:space="preserve">  Feb - no further update</t>
    </r>
  </si>
  <si>
    <r>
      <t>No further detail has emerged from central government, SYICB and Place partners continue to await further clarity prioir to understanding any local decisions that may need to be made. 
KG informed place board that a meeting had taken place with the Department of Health and Social Care to discuss the timeline for the potential abolition of Healthwatch. The advice received was to plan for March 2027, although it is anticipated that this date may be subject to extension.                                                                                                                                                                                                                                                                                                                                                                                                 The Department of Health and Social Care is drafting the Health Bill and determining which directorate will be mandated to gather the voices and experiences of people who use health and social care services after Healthwatch. Further clarification is being sought from DHSC on 4 February.</t>
    </r>
    <r>
      <rPr>
        <b/>
        <sz val="12"/>
        <color rgb="FF0070C0"/>
        <rFont val="Arial"/>
        <family val="2"/>
      </rPr>
      <t xml:space="preserve">   Feb - no further update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</si>
</sst>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Aptos Narrow"/>
      <family val="2"/>
      <scheme val="minor"/>
    </font>
    <font>
      <sz val="11"/>
      <color theme="1"/>
      <name val="Aptos Narrow"/>
      <family val="2"/>
      <scheme val="minor"/>
    </font>
    <font>
      <sz val="11"/>
      <color theme="0"/>
      <name val="Aptos Narrow"/>
      <family val="2"/>
      <scheme val="minor"/>
    </font>
    <font>
      <b/>
      <sz val="11"/>
      <color theme="0"/>
      <name val="Arial"/>
      <family val="2"/>
    </font>
    <font>
      <sz val="11"/>
      <color theme="0"/>
      <name val="Arial"/>
      <family val="2"/>
    </font>
    <font>
      <sz val="11"/>
      <color theme="1"/>
      <name val="Arial"/>
      <family val="2"/>
    </font>
    <font>
      <b/>
      <sz val="11"/>
      <color theme="3"/>
      <name val="Arial"/>
      <family val="2"/>
    </font>
    <font>
      <b/>
      <sz val="11"/>
      <color theme="1"/>
      <name val="Arial"/>
      <family val="2"/>
    </font>
    <font>
      <b/>
      <sz val="16"/>
      <color theme="0"/>
      <name val="Arial"/>
      <family val="2"/>
    </font>
    <font>
      <sz val="16"/>
      <color theme="1"/>
      <name val="Arial"/>
      <family val="2"/>
    </font>
    <font>
      <sz val="16"/>
      <color theme="0"/>
      <name val="Arial"/>
      <family val="2"/>
    </font>
    <font>
      <sz val="16"/>
      <name val="Arial"/>
      <family val="2"/>
    </font>
    <font>
      <sz val="16"/>
      <color theme="1"/>
      <name val="Aptos Narrow"/>
      <family val="2"/>
      <scheme val="minor"/>
    </font>
    <font>
      <sz val="16"/>
      <name val="Aptos Narrow"/>
      <family val="2"/>
      <scheme val="minor"/>
    </font>
    <font>
      <sz val="28"/>
      <color rgb="FF000000"/>
      <name val="Arial"/>
      <family val="2"/>
    </font>
    <font>
      <sz val="22"/>
      <color theme="1"/>
      <name val="Arial"/>
      <family val="2"/>
    </font>
    <font>
      <sz val="24"/>
      <color theme="1"/>
      <name val="Arial"/>
      <family val="2"/>
    </font>
    <font>
      <sz val="20"/>
      <color rgb="FF000000"/>
      <name val="Arial"/>
      <family val="2"/>
    </font>
    <font>
      <sz val="20"/>
      <color theme="1"/>
      <name val="Arial"/>
      <family val="2"/>
    </font>
    <font>
      <sz val="28"/>
      <color theme="1"/>
      <name val="Arial"/>
      <family val="2"/>
    </font>
    <font>
      <b/>
      <sz val="11"/>
      <color rgb="FF000000"/>
      <name val="Arial"/>
      <family val="2"/>
    </font>
    <font>
      <b/>
      <sz val="11"/>
      <color rgb="FF4472C4"/>
      <name val="Arial"/>
      <family val="2"/>
    </font>
    <font>
      <sz val="11"/>
      <color rgb="FF4472C4"/>
      <name val="Arial"/>
      <family val="2"/>
    </font>
    <font>
      <i/>
      <sz val="11"/>
      <color rgb="FFFF0000"/>
      <name val="Arial"/>
      <family val="2"/>
    </font>
    <font>
      <b/>
      <sz val="26"/>
      <color rgb="FF000000"/>
      <name val="Arial"/>
      <family val="2"/>
    </font>
    <font>
      <sz val="11"/>
      <color rgb="FF000000"/>
      <name val="Arial"/>
      <family val="2"/>
    </font>
    <font>
      <b/>
      <sz val="14"/>
      <color rgb="FF000000"/>
      <name val="Arial"/>
      <family val="2"/>
    </font>
    <font>
      <b/>
      <sz val="12"/>
      <color rgb="FF000000"/>
      <name val="Arial"/>
      <family val="2"/>
    </font>
    <font>
      <b/>
      <sz val="20"/>
      <color rgb="FFFF0000"/>
      <name val="Arial"/>
      <family val="2"/>
    </font>
    <font>
      <b/>
      <sz val="16"/>
      <color rgb="FF000000"/>
      <name val="Arial"/>
      <family val="2"/>
    </font>
    <font>
      <sz val="12"/>
      <color rgb="FF000000"/>
      <name val="Arial"/>
      <family val="2"/>
    </font>
    <font>
      <b/>
      <sz val="18"/>
      <color rgb="FF000000"/>
      <name val="Arial"/>
      <family val="2"/>
    </font>
    <font>
      <sz val="18"/>
      <color rgb="FF000000"/>
      <name val="Arial"/>
      <family val="2"/>
    </font>
    <font>
      <sz val="11"/>
      <color rgb="FF000000"/>
      <name val="Calibri"/>
      <family val="2"/>
    </font>
    <font>
      <i/>
      <sz val="12"/>
      <color rgb="FF000000"/>
      <name val="Arial"/>
      <family val="2"/>
    </font>
    <font>
      <b/>
      <sz val="12"/>
      <name val="Arial"/>
      <family val="2"/>
    </font>
    <font>
      <b/>
      <i/>
      <sz val="12"/>
      <color rgb="FF000000"/>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26"/>
      <color rgb="FF000000"/>
      <name val="Arial"/>
      <family val="2"/>
    </font>
    <font>
      <b/>
      <sz val="11"/>
      <name val="Arial"/>
      <family val="2"/>
    </font>
    <font>
      <sz val="12"/>
      <name val="Arial"/>
      <family val="2"/>
    </font>
    <font>
      <b/>
      <i/>
      <sz val="12"/>
      <name val="Arial"/>
      <family val="2"/>
    </font>
    <font>
      <sz val="11"/>
      <name val="Aptos Narrow"/>
      <family val="2"/>
      <scheme val="minor"/>
    </font>
    <font>
      <b/>
      <sz val="11"/>
      <color theme="0"/>
      <name val="Aptos Narrow"/>
      <family val="2"/>
      <scheme val="minor"/>
    </font>
    <font>
      <b/>
      <sz val="10"/>
      <color theme="0"/>
      <name val="Arial"/>
      <family val="2"/>
    </font>
    <font>
      <sz val="11"/>
      <color rgb="FFFF0000"/>
      <name val="Aptos Narrow"/>
      <family val="2"/>
      <scheme val="minor"/>
    </font>
    <font>
      <sz val="11"/>
      <color rgb="FF00B050"/>
      <name val="Aptos Narrow"/>
      <family val="2"/>
      <scheme val="minor"/>
    </font>
    <font>
      <sz val="12"/>
      <color theme="0"/>
      <name val="Arial"/>
      <family val="2"/>
    </font>
    <font>
      <b/>
      <sz val="12"/>
      <color theme="0"/>
      <name val="Aptos Narrow"/>
      <family val="2"/>
      <scheme val="minor"/>
    </font>
    <font>
      <b/>
      <sz val="12"/>
      <color rgb="FF0070C0"/>
      <name val="Arial"/>
      <family val="2"/>
    </font>
  </fonts>
  <fills count="33">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499984740745262"/>
        <bgColor indexed="64"/>
      </patternFill>
    </fill>
    <fill>
      <patternFill patternType="solid">
        <fgColor theme="1"/>
        <bgColor indexed="64"/>
      </patternFill>
    </fill>
    <fill>
      <patternFill patternType="solid">
        <fgColor rgb="FF0070C0"/>
        <bgColor indexed="64"/>
      </patternFill>
    </fill>
    <fill>
      <patternFill patternType="solid">
        <fgColor theme="4"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rgb="FFD9E1F2"/>
        <bgColor rgb="FF000000"/>
      </patternFill>
    </fill>
    <fill>
      <patternFill patternType="solid">
        <fgColor rgb="FFD9D9D9"/>
        <bgColor rgb="FF000000"/>
      </patternFill>
    </fill>
    <fill>
      <patternFill patternType="solid">
        <fgColor rgb="FFD0CECE"/>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7030A0"/>
        <bgColor rgb="FF000000"/>
      </patternFill>
    </fill>
    <fill>
      <patternFill patternType="solid">
        <fgColor rgb="FFFFFFFF"/>
        <bgColor rgb="FF000000"/>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7030A0"/>
        <bgColor indexed="64"/>
      </patternFill>
    </fill>
    <fill>
      <patternFill patternType="solid">
        <fgColor theme="8" tint="0.59999389629810485"/>
        <bgColor indexed="64"/>
      </patternFill>
    </fill>
    <fill>
      <patternFill patternType="solid">
        <fgColor rgb="FF6600FF"/>
        <bgColor indexed="64"/>
      </patternFill>
    </fill>
    <fill>
      <patternFill patternType="solid">
        <fgColor theme="0"/>
        <bgColor rgb="FF000000"/>
      </patternFill>
    </fill>
    <fill>
      <patternFill patternType="solid">
        <fgColor theme="4"/>
        <bgColor indexed="64"/>
      </patternFill>
    </fill>
    <fill>
      <patternFill patternType="solid">
        <fgColor rgb="FF002060"/>
        <bgColor indexed="64"/>
      </patternFill>
    </fill>
    <fill>
      <patternFill patternType="solid">
        <fgColor theme="7" tint="-0.499984740745262"/>
        <bgColor indexed="64"/>
      </patternFill>
    </fill>
    <fill>
      <patternFill patternType="solid">
        <fgColor rgb="FF92D050"/>
        <bgColor indexed="64"/>
      </patternFill>
    </fill>
    <fill>
      <patternFill patternType="solid">
        <fgColor theme="3" tint="9.9978637043366805E-2"/>
        <bgColor indexed="64"/>
      </patternFill>
    </fill>
  </fills>
  <borders count="2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s>
  <cellStyleXfs count="4">
    <xf numFmtId="0" fontId="0" fillId="0" borderId="0"/>
    <xf numFmtId="0" fontId="1" fillId="0" borderId="0"/>
    <xf numFmtId="0" fontId="1" fillId="0" borderId="0"/>
    <xf numFmtId="0" fontId="1" fillId="0" borderId="0"/>
  </cellStyleXfs>
  <cellXfs count="247">
    <xf numFmtId="0" fontId="0" fillId="0" borderId="0" xfId="0"/>
    <xf numFmtId="0" fontId="5" fillId="0" borderId="0" xfId="0" applyFont="1" applyAlignment="1">
      <alignment horizontal="center" vertical="center" wrapText="1"/>
    </xf>
    <xf numFmtId="0" fontId="0" fillId="2" borderId="0" xfId="0" applyFill="1"/>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7" fillId="0" borderId="0" xfId="0" applyFont="1"/>
    <xf numFmtId="0" fontId="5" fillId="0" borderId="0" xfId="0" applyFont="1"/>
    <xf numFmtId="0" fontId="10" fillId="7" borderId="2" xfId="0" applyFont="1" applyFill="1" applyBorder="1" applyAlignment="1">
      <alignment vertical="top" wrapText="1"/>
    </xf>
    <xf numFmtId="0" fontId="12" fillId="7" borderId="2" xfId="0" applyFont="1" applyFill="1" applyBorder="1" applyAlignment="1">
      <alignment vertical="top" wrapText="1"/>
    </xf>
    <xf numFmtId="0" fontId="11" fillId="8" borderId="2" xfId="0" applyFont="1" applyFill="1" applyBorder="1" applyAlignment="1">
      <alignment horizontal="center" vertical="top" wrapText="1"/>
    </xf>
    <xf numFmtId="0" fontId="10" fillId="4" borderId="2" xfId="0" applyFont="1" applyFill="1" applyBorder="1" applyAlignment="1">
      <alignment vertical="top" wrapText="1"/>
    </xf>
    <xf numFmtId="0" fontId="12" fillId="0" borderId="0" xfId="0" applyFont="1" applyAlignment="1">
      <alignment horizontal="left" wrapText="1"/>
    </xf>
    <xf numFmtId="0" fontId="12" fillId="0" borderId="0" xfId="0" applyFont="1" applyAlignment="1">
      <alignment horizontal="center" wrapText="1"/>
    </xf>
    <xf numFmtId="0" fontId="13" fillId="0" borderId="0" xfId="0" applyFont="1" applyAlignment="1">
      <alignment horizontal="center" wrapText="1"/>
    </xf>
    <xf numFmtId="0" fontId="12" fillId="0" borderId="0" xfId="0" applyFont="1" applyAlignment="1">
      <alignment wrapText="1"/>
    </xf>
    <xf numFmtId="0" fontId="9" fillId="0" borderId="0" xfId="0" applyFont="1" applyAlignment="1">
      <alignment horizontal="center" wrapText="1"/>
    </xf>
    <xf numFmtId="0" fontId="14" fillId="0" borderId="0" xfId="0" applyFont="1" applyAlignment="1">
      <alignment horizontal="left" vertical="center"/>
    </xf>
    <xf numFmtId="14" fontId="15" fillId="0" borderId="0" xfId="0" applyNumberFormat="1" applyFont="1" applyAlignment="1">
      <alignment horizontal="left"/>
    </xf>
    <xf numFmtId="14" fontId="16" fillId="0" borderId="0" xfId="0" applyNumberFormat="1" applyFont="1" applyAlignment="1">
      <alignment horizontal="left"/>
    </xf>
    <xf numFmtId="0" fontId="17" fillId="0" borderId="0" xfId="0" applyFont="1" applyAlignment="1">
      <alignment horizontal="left" vertical="center"/>
    </xf>
    <xf numFmtId="0" fontId="18" fillId="0" borderId="0" xfId="0" applyFont="1"/>
    <xf numFmtId="0" fontId="19" fillId="0" borderId="0" xfId="0" applyFont="1"/>
    <xf numFmtId="0" fontId="26" fillId="13" borderId="11" xfId="0" applyFont="1" applyFill="1" applyBorder="1"/>
    <xf numFmtId="0" fontId="26" fillId="14" borderId="14" xfId="0" applyFont="1" applyFill="1" applyBorder="1"/>
    <xf numFmtId="0" fontId="26" fillId="15" borderId="14" xfId="0" applyFont="1" applyFill="1" applyBorder="1"/>
    <xf numFmtId="0" fontId="26" fillId="16" borderId="14" xfId="0" applyFont="1" applyFill="1" applyBorder="1"/>
    <xf numFmtId="0" fontId="26" fillId="17" borderId="14" xfId="0" applyFont="1" applyFill="1" applyBorder="1"/>
    <xf numFmtId="0" fontId="26" fillId="0" borderId="17" xfId="0" applyFont="1" applyBorder="1"/>
    <xf numFmtId="0" fontId="28" fillId="0" borderId="0" xfId="0" applyFont="1"/>
    <xf numFmtId="0" fontId="29" fillId="13" borderId="5" xfId="0" applyFont="1" applyFill="1" applyBorder="1"/>
    <xf numFmtId="0" fontId="29" fillId="14" borderId="5" xfId="0" applyFont="1" applyFill="1" applyBorder="1"/>
    <xf numFmtId="0" fontId="29" fillId="15" borderId="5" xfId="0" applyFont="1" applyFill="1" applyBorder="1"/>
    <xf numFmtId="0" fontId="29" fillId="16" borderId="5" xfId="0" applyFont="1" applyFill="1" applyBorder="1"/>
    <xf numFmtId="0" fontId="29" fillId="17" borderId="5" xfId="0" applyFont="1" applyFill="1" applyBorder="1"/>
    <xf numFmtId="0" fontId="27" fillId="11" borderId="3" xfId="0" applyFont="1" applyFill="1" applyBorder="1" applyAlignment="1">
      <alignment wrapText="1"/>
    </xf>
    <xf numFmtId="0" fontId="30" fillId="18" borderId="5" xfId="0" applyFont="1" applyFill="1" applyBorder="1" applyAlignment="1">
      <alignment wrapText="1"/>
    </xf>
    <xf numFmtId="0" fontId="31" fillId="18" borderId="0" xfId="0" applyFont="1" applyFill="1" applyAlignment="1">
      <alignment wrapText="1"/>
    </xf>
    <xf numFmtId="0" fontId="32" fillId="18" borderId="0" xfId="0" applyFont="1" applyFill="1" applyAlignment="1">
      <alignment wrapText="1"/>
    </xf>
    <xf numFmtId="0" fontId="29" fillId="11" borderId="3" xfId="0" applyFont="1" applyFill="1" applyBorder="1"/>
    <xf numFmtId="0" fontId="26" fillId="11" borderId="3" xfId="0" applyFont="1" applyFill="1" applyBorder="1" applyAlignment="1">
      <alignment wrapText="1"/>
    </xf>
    <xf numFmtId="0" fontId="24" fillId="18" borderId="0" xfId="0" applyFont="1" applyFill="1" applyAlignment="1">
      <alignment wrapText="1"/>
    </xf>
    <xf numFmtId="0" fontId="33" fillId="0" borderId="0" xfId="0" applyFont="1"/>
    <xf numFmtId="0" fontId="26" fillId="0" borderId="0" xfId="0" applyFont="1" applyAlignment="1">
      <alignment wrapText="1"/>
    </xf>
    <xf numFmtId="0" fontId="20" fillId="0" borderId="0" xfId="0" applyFont="1"/>
    <xf numFmtId="0" fontId="27" fillId="0" borderId="2" xfId="0" applyFont="1" applyBorder="1"/>
    <xf numFmtId="0" fontId="27" fillId="0" borderId="1" xfId="0" applyFont="1" applyBorder="1"/>
    <xf numFmtId="0" fontId="27" fillId="0" borderId="3" xfId="0" applyFont="1" applyBorder="1"/>
    <xf numFmtId="0" fontId="34" fillId="0" borderId="5" xfId="0" applyFont="1" applyBorder="1"/>
    <xf numFmtId="0" fontId="35" fillId="0" borderId="3" xfId="0" applyFont="1" applyBorder="1"/>
    <xf numFmtId="0" fontId="34" fillId="0" borderId="5" xfId="0" applyFont="1" applyBorder="1" applyAlignment="1">
      <alignment wrapText="1"/>
    </xf>
    <xf numFmtId="0" fontId="36" fillId="0" borderId="3" xfId="0" applyFont="1" applyBorder="1"/>
    <xf numFmtId="0" fontId="37" fillId="0" borderId="0" xfId="0" applyFont="1"/>
    <xf numFmtId="0" fontId="38" fillId="0" borderId="0" xfId="0" applyFont="1" applyAlignment="1">
      <alignment horizontal="center" vertical="center"/>
    </xf>
    <xf numFmtId="0" fontId="39" fillId="20" borderId="11" xfId="0" applyFont="1" applyFill="1" applyBorder="1" applyAlignment="1">
      <alignment horizontal="center" vertical="center" wrapText="1"/>
    </xf>
    <xf numFmtId="0" fontId="39" fillId="21" borderId="11" xfId="0" applyFont="1" applyFill="1" applyBorder="1" applyAlignment="1">
      <alignment horizontal="center" vertical="center" wrapText="1"/>
    </xf>
    <xf numFmtId="0" fontId="39" fillId="22" borderId="11" xfId="0" applyFont="1" applyFill="1" applyBorder="1" applyAlignment="1">
      <alignment horizontal="center" vertical="center" wrapText="1"/>
    </xf>
    <xf numFmtId="0" fontId="39" fillId="20" borderId="11" xfId="0" applyFont="1" applyFill="1" applyBorder="1" applyAlignment="1">
      <alignment horizontal="center" wrapText="1"/>
    </xf>
    <xf numFmtId="0" fontId="39" fillId="8" borderId="11" xfId="0" applyFont="1" applyFill="1" applyBorder="1" applyAlignment="1">
      <alignment horizontal="center" vertical="center" wrapText="1"/>
    </xf>
    <xf numFmtId="0" fontId="40" fillId="23" borderId="11" xfId="0" applyFont="1" applyFill="1" applyBorder="1" applyAlignment="1">
      <alignment horizontal="center" vertical="center" wrapText="1"/>
    </xf>
    <xf numFmtId="0" fontId="38" fillId="0" borderId="0" xfId="0" applyFont="1" applyAlignment="1">
      <alignment horizontal="center"/>
    </xf>
    <xf numFmtId="0" fontId="39" fillId="20" borderId="21" xfId="0" applyFont="1" applyFill="1" applyBorder="1" applyAlignment="1">
      <alignment horizontal="center" vertical="center" wrapText="1"/>
    </xf>
    <xf numFmtId="0" fontId="41" fillId="0" borderId="0" xfId="0" applyFont="1" applyAlignment="1">
      <alignment horizontal="left" vertical="center"/>
    </xf>
    <xf numFmtId="0" fontId="40" fillId="4" borderId="2" xfId="1" applyFont="1" applyFill="1" applyBorder="1" applyAlignment="1">
      <alignment horizontal="center" vertical="center" wrapText="1"/>
    </xf>
    <xf numFmtId="0" fontId="40" fillId="4" borderId="2" xfId="1" applyFont="1" applyFill="1" applyBorder="1" applyAlignment="1">
      <alignment vertical="center" wrapText="1"/>
    </xf>
    <xf numFmtId="0" fontId="40" fillId="4" borderId="2" xfId="2" applyFont="1" applyFill="1" applyBorder="1" applyAlignment="1">
      <alignment vertical="center" wrapText="1"/>
    </xf>
    <xf numFmtId="0" fontId="40" fillId="4" borderId="2" xfId="2" applyFont="1" applyFill="1" applyBorder="1" applyAlignment="1">
      <alignment horizontal="center" vertical="center" wrapText="1"/>
    </xf>
    <xf numFmtId="0" fontId="43" fillId="3" borderId="2" xfId="3" applyFont="1" applyFill="1" applyBorder="1" applyAlignment="1">
      <alignment horizontal="center" vertical="center" wrapText="1"/>
    </xf>
    <xf numFmtId="0" fontId="43" fillId="3" borderId="2" xfId="0" applyFont="1" applyFill="1" applyBorder="1" applyAlignment="1">
      <alignment horizontal="center" vertical="center" wrapText="1"/>
    </xf>
    <xf numFmtId="14" fontId="43" fillId="3" borderId="2" xfId="0" applyNumberFormat="1" applyFont="1" applyFill="1" applyBorder="1" applyAlignment="1">
      <alignment horizontal="center" vertical="center" wrapText="1"/>
    </xf>
    <xf numFmtId="0" fontId="43" fillId="3" borderId="2" xfId="0" applyFont="1" applyFill="1" applyBorder="1" applyAlignment="1">
      <alignment horizontal="left" vertical="center" wrapText="1"/>
    </xf>
    <xf numFmtId="0" fontId="2" fillId="23" borderId="2" xfId="0" applyFont="1" applyFill="1" applyBorder="1" applyAlignment="1">
      <alignment horizontal="center" vertical="center" wrapText="1"/>
    </xf>
    <xf numFmtId="0" fontId="0" fillId="8" borderId="2" xfId="0" applyFill="1" applyBorder="1" applyAlignment="1">
      <alignment horizontal="center" vertical="center" wrapText="1"/>
    </xf>
    <xf numFmtId="0" fontId="0" fillId="0" borderId="0" xfId="0" applyAlignment="1">
      <alignment wrapText="1"/>
    </xf>
    <xf numFmtId="0" fontId="9" fillId="3" borderId="0" xfId="0" applyFont="1" applyFill="1" applyAlignment="1">
      <alignment horizontal="center" wrapText="1"/>
    </xf>
    <xf numFmtId="0" fontId="9" fillId="3" borderId="0" xfId="0" applyFont="1" applyFill="1" applyAlignment="1">
      <alignment vertical="top" wrapText="1"/>
    </xf>
    <xf numFmtId="0" fontId="9" fillId="0" borderId="0" xfId="0" applyFont="1" applyAlignment="1">
      <alignment vertical="top" wrapText="1"/>
    </xf>
    <xf numFmtId="0" fontId="9" fillId="4" borderId="2" xfId="0" applyFont="1" applyFill="1" applyBorder="1" applyAlignment="1">
      <alignment vertical="top" wrapText="1"/>
    </xf>
    <xf numFmtId="0" fontId="13" fillId="3" borderId="0" xfId="0" applyFont="1" applyFill="1" applyAlignment="1">
      <alignment vertical="center" wrapText="1"/>
    </xf>
    <xf numFmtId="0" fontId="13" fillId="0" borderId="0" xfId="0" applyFont="1" applyAlignment="1">
      <alignment vertical="center" wrapText="1"/>
    </xf>
    <xf numFmtId="0" fontId="10" fillId="4" borderId="2" xfId="0" applyFont="1" applyFill="1" applyBorder="1" applyAlignment="1">
      <alignment wrapText="1"/>
    </xf>
    <xf numFmtId="0" fontId="12" fillId="3" borderId="0" xfId="0" applyFont="1" applyFill="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2" fillId="3" borderId="0" xfId="0" applyFont="1" applyFill="1" applyAlignment="1">
      <alignment wrapText="1"/>
    </xf>
    <xf numFmtId="0" fontId="0" fillId="3" borderId="0" xfId="0" applyFill="1"/>
    <xf numFmtId="0" fontId="3" fillId="4" borderId="2" xfId="1" applyFont="1" applyFill="1" applyBorder="1" applyAlignment="1">
      <alignment horizontal="center" vertical="center" wrapText="1"/>
    </xf>
    <xf numFmtId="0" fontId="2" fillId="26" borderId="2"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3" fillId="3" borderId="2" xfId="0" applyFont="1" applyFill="1" applyBorder="1" applyAlignment="1">
      <alignment vertical="center" wrapText="1"/>
    </xf>
    <xf numFmtId="0" fontId="11" fillId="0" borderId="2" xfId="0" applyFont="1" applyBorder="1" applyAlignment="1">
      <alignment vertical="center" wrapText="1"/>
    </xf>
    <xf numFmtId="0" fontId="40" fillId="24" borderId="11" xfId="0" applyFont="1" applyFill="1" applyBorder="1" applyAlignment="1">
      <alignment horizontal="center" vertical="center" wrapText="1"/>
    </xf>
    <xf numFmtId="0" fontId="24" fillId="0" borderId="0" xfId="0" applyFont="1"/>
    <xf numFmtId="0" fontId="25" fillId="0" borderId="0" xfId="0" applyFont="1"/>
    <xf numFmtId="0" fontId="29" fillId="18" borderId="0" xfId="0" applyFont="1" applyFill="1"/>
    <xf numFmtId="0" fontId="39" fillId="19" borderId="11" xfId="0" applyFont="1" applyFill="1" applyBorder="1" applyAlignment="1">
      <alignment horizontal="center"/>
    </xf>
    <xf numFmtId="0" fontId="39" fillId="9" borderId="11" xfId="0" applyFont="1" applyFill="1" applyBorder="1" applyAlignment="1">
      <alignment horizontal="center" vertical="center" wrapText="1"/>
    </xf>
    <xf numFmtId="0" fontId="39" fillId="9" borderId="11" xfId="0" applyFont="1" applyFill="1" applyBorder="1" applyAlignment="1">
      <alignment horizontal="center" vertical="center"/>
    </xf>
    <xf numFmtId="0" fontId="39" fillId="9" borderId="11" xfId="0" applyFont="1" applyFill="1" applyBorder="1" applyAlignment="1">
      <alignment horizontal="center" vertical="top" wrapText="1"/>
    </xf>
    <xf numFmtId="0" fontId="39" fillId="9" borderId="11" xfId="0" applyFont="1" applyFill="1" applyBorder="1" applyAlignment="1">
      <alignment horizontal="center" vertical="top"/>
    </xf>
    <xf numFmtId="0" fontId="25" fillId="0" borderId="0" xfId="0" applyFont="1" applyAlignment="1">
      <alignment horizontal="center" vertical="center"/>
    </xf>
    <xf numFmtId="0" fontId="26" fillId="10" borderId="11" xfId="0" applyFont="1" applyFill="1" applyBorder="1" applyAlignment="1">
      <alignment horizontal="center" vertical="center"/>
    </xf>
    <xf numFmtId="0" fontId="27" fillId="12" borderId="16" xfId="0" applyFont="1" applyFill="1" applyBorder="1" applyAlignment="1">
      <alignment horizontal="center" vertical="center" wrapText="1"/>
    </xf>
    <xf numFmtId="0" fontId="20" fillId="13" borderId="17" xfId="0" applyFont="1" applyFill="1" applyBorder="1" applyAlignment="1">
      <alignment horizontal="center" vertical="center"/>
    </xf>
    <xf numFmtId="0" fontId="20" fillId="14" borderId="17" xfId="0" applyFont="1" applyFill="1" applyBorder="1" applyAlignment="1">
      <alignment horizontal="center" vertical="center"/>
    </xf>
    <xf numFmtId="0" fontId="20" fillId="15" borderId="17" xfId="0" applyFont="1" applyFill="1" applyBorder="1" applyAlignment="1">
      <alignment horizontal="center" vertical="center"/>
    </xf>
    <xf numFmtId="0" fontId="3" fillId="16" borderId="17" xfId="0" applyFont="1" applyFill="1" applyBorder="1" applyAlignment="1">
      <alignment horizontal="center" vertical="center"/>
    </xf>
    <xf numFmtId="0" fontId="3" fillId="17" borderId="17" xfId="0" applyFont="1" applyFill="1" applyBorder="1" applyAlignment="1">
      <alignment horizontal="center" vertical="center"/>
    </xf>
    <xf numFmtId="49" fontId="26" fillId="0" borderId="17" xfId="0" applyNumberFormat="1" applyFont="1" applyBorder="1"/>
    <xf numFmtId="0" fontId="5" fillId="3" borderId="0" xfId="0" applyFont="1" applyFill="1"/>
    <xf numFmtId="0" fontId="25" fillId="3" borderId="0" xfId="0" applyFont="1" applyFill="1" applyBorder="1"/>
    <xf numFmtId="0" fontId="5" fillId="3" borderId="0" xfId="0" applyFont="1" applyFill="1" applyBorder="1"/>
    <xf numFmtId="0" fontId="25" fillId="3" borderId="0" xfId="0" applyFont="1" applyFill="1" applyBorder="1" applyAlignment="1">
      <alignment horizontal="center" vertical="center"/>
    </xf>
    <xf numFmtId="0" fontId="26" fillId="27" borderId="0" xfId="0" applyFont="1" applyFill="1" applyBorder="1" applyAlignment="1">
      <alignment horizontal="center" vertical="center"/>
    </xf>
    <xf numFmtId="0" fontId="27" fillId="27" borderId="0" xfId="0" applyFont="1" applyFill="1" applyBorder="1" applyAlignment="1">
      <alignment horizontal="center" vertical="center" wrapText="1"/>
    </xf>
    <xf numFmtId="0" fontId="42" fillId="27" borderId="0" xfId="0" applyFont="1" applyFill="1" applyBorder="1" applyAlignment="1">
      <alignment horizontal="center" vertical="center"/>
    </xf>
    <xf numFmtId="0" fontId="20" fillId="27" borderId="0" xfId="0" applyFont="1" applyFill="1" applyBorder="1" applyAlignment="1">
      <alignment horizontal="center" vertical="center"/>
    </xf>
    <xf numFmtId="0" fontId="39" fillId="21" borderId="11" xfId="0" applyFont="1" applyFill="1" applyBorder="1" applyAlignment="1">
      <alignment horizontal="center" vertical="center"/>
    </xf>
    <xf numFmtId="0" fontId="39" fillId="21" borderId="0" xfId="0" applyFont="1" applyFill="1" applyAlignment="1">
      <alignment horizontal="center" vertical="center" wrapText="1"/>
    </xf>
    <xf numFmtId="0" fontId="39" fillId="22" borderId="11" xfId="0" applyFont="1" applyFill="1" applyBorder="1" applyAlignment="1">
      <alignment horizontal="center" vertical="center"/>
    </xf>
    <xf numFmtId="0" fontId="39" fillId="8" borderId="11" xfId="0" applyFont="1" applyFill="1" applyBorder="1" applyAlignment="1">
      <alignment horizontal="center" vertical="center"/>
    </xf>
    <xf numFmtId="0" fontId="40" fillId="23" borderId="11" xfId="0" applyFont="1" applyFill="1" applyBorder="1" applyAlignment="1">
      <alignment horizontal="center" vertical="center"/>
    </xf>
    <xf numFmtId="0" fontId="39" fillId="24" borderId="11" xfId="0" applyFont="1" applyFill="1" applyBorder="1" applyAlignment="1">
      <alignment horizontal="center" vertical="center"/>
    </xf>
    <xf numFmtId="0" fontId="37" fillId="21" borderId="0" xfId="0" applyFont="1" applyFill="1" applyAlignment="1">
      <alignment wrapText="1"/>
    </xf>
    <xf numFmtId="0" fontId="5" fillId="3" borderId="0" xfId="0" applyFont="1" applyFill="1" applyAlignment="1">
      <alignment horizontal="center" vertical="center" wrapText="1"/>
    </xf>
    <xf numFmtId="0" fontId="0" fillId="3" borderId="0" xfId="0" applyFill="1" applyAlignment="1">
      <alignment horizontal="center" vertical="center" wrapText="1"/>
    </xf>
    <xf numFmtId="0" fontId="3" fillId="3" borderId="0" xfId="0" applyFont="1" applyFill="1" applyAlignment="1">
      <alignment horizontal="center" vertical="center" wrapText="1"/>
    </xf>
    <xf numFmtId="0" fontId="5" fillId="3" borderId="0" xfId="0" applyFont="1" applyFill="1" applyAlignment="1">
      <alignment vertical="center" wrapText="1"/>
    </xf>
    <xf numFmtId="0" fontId="39" fillId="0" borderId="0" xfId="0" applyFont="1" applyAlignment="1">
      <alignment vertical="center"/>
    </xf>
    <xf numFmtId="0" fontId="37" fillId="0" borderId="0" xfId="0" applyFont="1" applyAlignment="1">
      <alignment vertical="center"/>
    </xf>
    <xf numFmtId="0" fontId="43" fillId="22" borderId="2" xfId="0" applyFont="1" applyFill="1" applyBorder="1" applyAlignment="1">
      <alignment horizontal="center" vertical="center"/>
    </xf>
    <xf numFmtId="0" fontId="37" fillId="0" borderId="0" xfId="0" applyFont="1" applyAlignment="1">
      <alignment horizontal="center" vertical="center"/>
    </xf>
    <xf numFmtId="14" fontId="0" fillId="3" borderId="2" xfId="0" applyNumberFormat="1" applyFill="1" applyBorder="1" applyAlignment="1">
      <alignment horizontal="center" vertical="center" wrapText="1"/>
    </xf>
    <xf numFmtId="0" fontId="4" fillId="4" borderId="2" xfId="2" applyFont="1" applyFill="1" applyBorder="1" applyAlignment="1">
      <alignment horizontal="center" vertical="center" textRotation="90" wrapText="1"/>
    </xf>
    <xf numFmtId="0" fontId="4" fillId="4" borderId="2" xfId="2" applyFont="1" applyFill="1" applyBorder="1" applyAlignment="1">
      <alignment horizontal="center" vertical="center" wrapText="1"/>
    </xf>
    <xf numFmtId="0" fontId="48" fillId="3" borderId="2" xfId="0" applyFont="1" applyFill="1" applyBorder="1" applyAlignment="1">
      <alignment horizontal="center" vertical="center" wrapText="1"/>
    </xf>
    <xf numFmtId="0" fontId="2" fillId="21" borderId="2" xfId="0" applyFont="1" applyFill="1" applyBorder="1" applyAlignment="1">
      <alignment horizontal="center" vertical="center" wrapText="1"/>
    </xf>
    <xf numFmtId="0" fontId="49" fillId="3" borderId="2" xfId="0" applyFont="1" applyFill="1" applyBorder="1" applyAlignment="1">
      <alignment horizontal="center" vertical="center" wrapText="1"/>
    </xf>
    <xf numFmtId="0" fontId="10" fillId="7" borderId="7" xfId="0" applyFont="1" applyFill="1" applyBorder="1" applyAlignment="1">
      <alignment vertical="top" wrapText="1"/>
    </xf>
    <xf numFmtId="0" fontId="12" fillId="7" borderId="7" xfId="0" applyFont="1" applyFill="1" applyBorder="1" applyAlignment="1">
      <alignment vertical="top" wrapText="1"/>
    </xf>
    <xf numFmtId="0" fontId="11" fillId="8" borderId="7" xfId="0" applyFont="1" applyFill="1" applyBorder="1" applyAlignment="1">
      <alignment horizontal="center" vertical="top" wrapText="1"/>
    </xf>
    <xf numFmtId="0" fontId="9" fillId="7" borderId="7" xfId="0" applyFont="1" applyFill="1" applyBorder="1" applyAlignment="1">
      <alignment vertical="top" wrapText="1"/>
    </xf>
    <xf numFmtId="0" fontId="40" fillId="4" borderId="2" xfId="1" applyFont="1" applyFill="1" applyBorder="1" applyAlignment="1">
      <alignment horizontal="left" vertical="center" wrapText="1"/>
    </xf>
    <xf numFmtId="0" fontId="35" fillId="2" borderId="2" xfId="0" applyFont="1" applyFill="1" applyBorder="1" applyAlignment="1">
      <alignment horizontal="center" vertical="center" wrapText="1"/>
    </xf>
    <xf numFmtId="0" fontId="43" fillId="0" borderId="2" xfId="0" applyFont="1" applyBorder="1" applyAlignment="1">
      <alignment horizontal="left" vertical="center" wrapText="1"/>
    </xf>
    <xf numFmtId="0" fontId="37" fillId="0" borderId="0" xfId="0" applyFont="1" applyAlignment="1">
      <alignment vertical="center" wrapText="1"/>
    </xf>
    <xf numFmtId="0" fontId="0" fillId="0" borderId="0" xfId="0" applyAlignment="1">
      <alignment horizontal="left" vertical="center"/>
    </xf>
    <xf numFmtId="0" fontId="3" fillId="4" borderId="1"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29" borderId="2" xfId="1" applyFont="1" applyFill="1" applyBorder="1" applyAlignment="1">
      <alignment horizontal="left" vertical="center" wrapText="1"/>
    </xf>
    <xf numFmtId="0" fontId="3" fillId="4" borderId="2" xfId="1" applyFont="1" applyFill="1" applyBorder="1" applyAlignment="1">
      <alignment horizontal="left" vertical="center" wrapText="1"/>
    </xf>
    <xf numFmtId="0" fontId="4" fillId="4" borderId="22" xfId="2" applyFont="1" applyFill="1" applyBorder="1" applyAlignment="1">
      <alignment horizontal="center" vertical="center" wrapText="1"/>
    </xf>
    <xf numFmtId="0" fontId="4" fillId="4" borderId="20" xfId="2" applyFont="1" applyFill="1" applyBorder="1" applyAlignment="1">
      <alignment horizontal="center" vertical="center" wrapText="1"/>
    </xf>
    <xf numFmtId="0" fontId="45" fillId="3" borderId="2" xfId="0" applyFont="1" applyFill="1" applyBorder="1" applyAlignment="1">
      <alignment horizontal="center" vertical="center" wrapText="1"/>
    </xf>
    <xf numFmtId="0" fontId="4" fillId="4" borderId="2" xfId="2" applyFont="1" applyFill="1" applyBorder="1" applyAlignment="1">
      <alignment vertical="center" wrapText="1"/>
    </xf>
    <xf numFmtId="0" fontId="4" fillId="4" borderId="4" xfId="2" applyFont="1" applyFill="1" applyBorder="1" applyAlignment="1">
      <alignment horizontal="center" vertical="center" textRotation="90" wrapText="1"/>
    </xf>
    <xf numFmtId="0" fontId="4" fillId="4" borderId="22" xfId="2" applyFont="1" applyFill="1" applyBorder="1" applyAlignment="1">
      <alignment horizontal="center" vertical="center" textRotation="90" wrapText="1"/>
    </xf>
    <xf numFmtId="0" fontId="0" fillId="22" borderId="2" xfId="0" applyFill="1" applyBorder="1" applyAlignment="1">
      <alignment horizontal="center" vertical="center" wrapText="1"/>
    </xf>
    <xf numFmtId="0" fontId="40" fillId="6" borderId="2" xfId="0" applyFont="1" applyFill="1" applyBorder="1" applyAlignment="1">
      <alignment horizontal="center" vertical="center" wrapText="1"/>
    </xf>
    <xf numFmtId="0" fontId="40" fillId="6" borderId="2" xfId="0" applyFont="1" applyFill="1" applyBorder="1" applyAlignment="1">
      <alignment horizontal="center" vertical="top" wrapText="1"/>
    </xf>
    <xf numFmtId="0" fontId="9" fillId="30" borderId="7" xfId="0" applyFont="1" applyFill="1" applyBorder="1" applyAlignment="1">
      <alignment vertical="top" wrapText="1"/>
    </xf>
    <xf numFmtId="0" fontId="9" fillId="30" borderId="0" xfId="0" applyFont="1" applyFill="1" applyAlignment="1">
      <alignment vertical="top" wrapText="1"/>
    </xf>
    <xf numFmtId="0" fontId="11" fillId="8" borderId="2" xfId="0" applyFont="1" applyFill="1" applyBorder="1" applyAlignment="1">
      <alignment vertical="center" wrapText="1"/>
    </xf>
    <xf numFmtId="0" fontId="11" fillId="22" borderId="2" xfId="0" applyFont="1" applyFill="1" applyBorder="1" applyAlignment="1">
      <alignment vertical="center" wrapText="1"/>
    </xf>
    <xf numFmtId="0" fontId="11" fillId="31" borderId="2" xfId="0" applyFont="1" applyFill="1" applyBorder="1" applyAlignment="1">
      <alignment vertical="center" wrapText="1"/>
    </xf>
    <xf numFmtId="0" fontId="35" fillId="0" borderId="2" xfId="1" applyFont="1" applyBorder="1" applyAlignment="1">
      <alignment horizontal="center" vertical="center" wrapText="1"/>
    </xf>
    <xf numFmtId="0" fontId="35" fillId="0" borderId="2" xfId="1" applyFont="1" applyBorder="1" applyAlignment="1">
      <alignment horizontal="left" vertical="center" wrapText="1"/>
    </xf>
    <xf numFmtId="0" fontId="43" fillId="0" borderId="2" xfId="1" applyFont="1" applyBorder="1" applyAlignment="1">
      <alignment horizontal="center" vertical="center" wrapText="1"/>
    </xf>
    <xf numFmtId="0" fontId="35" fillId="0" borderId="2" xfId="1" applyFont="1" applyBorder="1" applyAlignment="1">
      <alignment vertical="center" wrapText="1"/>
    </xf>
    <xf numFmtId="0" fontId="35" fillId="0" borderId="2" xfId="2" applyFont="1" applyBorder="1" applyAlignment="1">
      <alignment vertical="center" wrapText="1"/>
    </xf>
    <xf numFmtId="0" fontId="35" fillId="0" borderId="2" xfId="2" applyFont="1" applyBorder="1" applyAlignment="1">
      <alignment horizontal="center" vertical="center" wrapText="1"/>
    </xf>
    <xf numFmtId="0" fontId="35" fillId="3" borderId="2" xfId="0" applyFont="1" applyFill="1" applyBorder="1" applyAlignment="1">
      <alignment horizontal="center" vertical="center" wrapText="1"/>
    </xf>
    <xf numFmtId="17" fontId="43" fillId="3" borderId="2" xfId="0" applyNumberFormat="1" applyFont="1" applyFill="1" applyBorder="1" applyAlignment="1">
      <alignment horizontal="center" vertical="center" wrapText="1"/>
    </xf>
    <xf numFmtId="0" fontId="35" fillId="0" borderId="2" xfId="0" applyFont="1" applyBorder="1" applyAlignment="1">
      <alignment horizontal="center" vertical="center" wrapText="1"/>
    </xf>
    <xf numFmtId="0" fontId="43" fillId="0" borderId="2" xfId="0" applyFont="1" applyBorder="1" applyAlignment="1">
      <alignment horizontal="center" vertical="center"/>
    </xf>
    <xf numFmtId="0" fontId="43" fillId="0" borderId="2" xfId="0" applyFont="1" applyBorder="1" applyAlignment="1">
      <alignment vertical="center"/>
    </xf>
    <xf numFmtId="0" fontId="43" fillId="23" borderId="2" xfId="0" applyFont="1" applyFill="1" applyBorder="1" applyAlignment="1">
      <alignment horizontal="center" vertical="center"/>
    </xf>
    <xf numFmtId="0" fontId="43" fillId="0" borderId="2" xfId="0" applyFont="1" applyBorder="1" applyAlignment="1">
      <alignment vertical="center" wrapText="1"/>
    </xf>
    <xf numFmtId="0" fontId="43" fillId="8" borderId="2" xfId="0" applyFont="1" applyFill="1" applyBorder="1" applyAlignment="1">
      <alignment horizontal="center" vertical="center"/>
    </xf>
    <xf numFmtId="0" fontId="43" fillId="0" borderId="2" xfId="0" applyFont="1" applyBorder="1" applyAlignment="1">
      <alignment horizontal="center" vertical="center" wrapText="1"/>
    </xf>
    <xf numFmtId="0" fontId="43" fillId="0" borderId="2" xfId="0" applyFont="1" applyBorder="1"/>
    <xf numFmtId="14" fontId="43" fillId="0" borderId="2" xfId="0" applyNumberFormat="1" applyFont="1" applyBorder="1" applyAlignment="1">
      <alignment horizontal="center" vertical="center"/>
    </xf>
    <xf numFmtId="0" fontId="43" fillId="0" borderId="2" xfId="0" applyFont="1" applyBorder="1" applyAlignment="1">
      <alignment vertical="top" wrapText="1"/>
    </xf>
    <xf numFmtId="14" fontId="43" fillId="0" borderId="2" xfId="0" applyNumberFormat="1" applyFont="1" applyBorder="1" applyAlignment="1">
      <alignment horizontal="center" vertical="center" wrapText="1"/>
    </xf>
    <xf numFmtId="0" fontId="43" fillId="0" borderId="2" xfId="0" applyFont="1" applyBorder="1" applyAlignment="1">
      <alignment horizontal="left" vertical="top" wrapText="1"/>
    </xf>
    <xf numFmtId="0" fontId="43" fillId="8" borderId="2" xfId="0" applyFont="1" applyFill="1" applyBorder="1" applyAlignment="1">
      <alignment horizontal="center" vertical="center" wrapText="1"/>
    </xf>
    <xf numFmtId="0" fontId="43" fillId="22" borderId="2" xfId="0" applyFont="1" applyFill="1" applyBorder="1" applyAlignment="1">
      <alignment horizontal="center" vertical="center" wrapText="1"/>
    </xf>
    <xf numFmtId="17" fontId="35" fillId="0" borderId="2" xfId="0" applyNumberFormat="1" applyFont="1" applyBorder="1" applyAlignment="1">
      <alignment horizontal="center" vertical="center" wrapText="1"/>
    </xf>
    <xf numFmtId="0" fontId="45" fillId="0" borderId="0" xfId="0" applyFont="1"/>
    <xf numFmtId="0" fontId="35" fillId="0" borderId="2" xfId="0" applyFont="1" applyBorder="1" applyAlignment="1">
      <alignment vertical="center" wrapText="1"/>
    </xf>
    <xf numFmtId="0" fontId="35" fillId="0" borderId="2" xfId="0" applyFont="1" applyBorder="1" applyAlignment="1">
      <alignment horizontal="center" vertical="center"/>
    </xf>
    <xf numFmtId="0" fontId="35" fillId="8" borderId="2" xfId="0" applyFont="1" applyFill="1" applyBorder="1" applyAlignment="1">
      <alignment horizontal="center" vertical="center"/>
    </xf>
    <xf numFmtId="0" fontId="35" fillId="22" borderId="2" xfId="0" applyFont="1" applyFill="1" applyBorder="1" applyAlignment="1">
      <alignment horizontal="center" vertical="center"/>
    </xf>
    <xf numFmtId="17" fontId="35" fillId="0" borderId="2" xfId="0" applyNumberFormat="1" applyFont="1" applyBorder="1" applyAlignment="1">
      <alignment horizontal="center" vertical="center"/>
    </xf>
    <xf numFmtId="0" fontId="48" fillId="0" borderId="0" xfId="0" applyFont="1"/>
    <xf numFmtId="0" fontId="51" fillId="0" borderId="0" xfId="0" applyFont="1" applyAlignment="1">
      <alignment vertical="center"/>
    </xf>
    <xf numFmtId="0" fontId="2" fillId="0" borderId="0" xfId="0" applyFont="1" applyAlignment="1">
      <alignment vertical="center"/>
    </xf>
    <xf numFmtId="0" fontId="2" fillId="0" borderId="0" xfId="0" applyFont="1"/>
    <xf numFmtId="14" fontId="11" fillId="0" borderId="2" xfId="0" applyNumberFormat="1" applyFont="1" applyBorder="1" applyAlignment="1">
      <alignment vertical="center" wrapText="1"/>
    </xf>
    <xf numFmtId="0" fontId="12" fillId="32" borderId="0" xfId="0" applyFont="1" applyFill="1" applyAlignment="1">
      <alignment vertical="center" wrapText="1"/>
    </xf>
    <xf numFmtId="14" fontId="12" fillId="32" borderId="0" xfId="0" applyNumberFormat="1" applyFont="1" applyFill="1" applyAlignment="1">
      <alignment vertical="center" wrapText="1"/>
    </xf>
    <xf numFmtId="0" fontId="13" fillId="32" borderId="0" xfId="0" applyFont="1" applyFill="1" applyAlignment="1">
      <alignment vertical="center" wrapText="1"/>
    </xf>
    <xf numFmtId="14" fontId="13" fillId="32" borderId="0" xfId="0" applyNumberFormat="1" applyFont="1" applyFill="1" applyAlignment="1">
      <alignment vertical="center" wrapText="1"/>
    </xf>
    <xf numFmtId="0" fontId="43" fillId="21" borderId="2" xfId="0" applyFont="1" applyFill="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24" fillId="0" borderId="0" xfId="0" applyFont="1"/>
    <xf numFmtId="0" fontId="26" fillId="10" borderId="12" xfId="0" applyFont="1" applyFill="1" applyBorder="1" applyAlignment="1">
      <alignment horizontal="center" vertical="center"/>
    </xf>
    <xf numFmtId="0" fontId="26" fillId="10" borderId="13" xfId="0" applyFont="1" applyFill="1" applyBorder="1" applyAlignment="1">
      <alignment horizontal="center" vertical="center"/>
    </xf>
    <xf numFmtId="0" fontId="26" fillId="10" borderId="14" xfId="0" applyFont="1" applyFill="1" applyBorder="1" applyAlignment="1">
      <alignment horizontal="center" vertical="center"/>
    </xf>
    <xf numFmtId="0" fontId="26" fillId="27" borderId="0" xfId="0" applyFont="1" applyFill="1" applyBorder="1" applyAlignment="1">
      <alignment horizontal="center" vertical="center"/>
    </xf>
    <xf numFmtId="0" fontId="27" fillId="11" borderId="15" xfId="0" applyFont="1" applyFill="1" applyBorder="1" applyAlignment="1">
      <alignment horizontal="center" vertical="center" wrapText="1"/>
    </xf>
    <xf numFmtId="0" fontId="27" fillId="11" borderId="16" xfId="0" applyFont="1" applyFill="1" applyBorder="1" applyAlignment="1">
      <alignment horizontal="center" vertical="center" wrapText="1"/>
    </xf>
    <xf numFmtId="0" fontId="27" fillId="27" borderId="0" xfId="0" applyFont="1" applyFill="1" applyBorder="1" applyAlignment="1">
      <alignment horizontal="center" vertical="center" wrapText="1"/>
    </xf>
    <xf numFmtId="0" fontId="29" fillId="11" borderId="7" xfId="0" applyFont="1" applyFill="1" applyBorder="1"/>
    <xf numFmtId="0" fontId="29" fillId="11" borderId="9" xfId="0" applyFont="1" applyFill="1" applyBorder="1"/>
    <xf numFmtId="0" fontId="29" fillId="11" borderId="20" xfId="0" applyFont="1" applyFill="1" applyBorder="1"/>
    <xf numFmtId="0" fontId="29" fillId="11" borderId="18" xfId="0" applyFont="1" applyFill="1" applyBorder="1"/>
    <xf numFmtId="0" fontId="29" fillId="11" borderId="19" xfId="0" applyFont="1" applyFill="1" applyBorder="1"/>
    <xf numFmtId="0" fontId="25" fillId="18" borderId="0" xfId="0" applyFont="1" applyFill="1"/>
    <xf numFmtId="0" fontId="29" fillId="18" borderId="0" xfId="0" applyFont="1" applyFill="1"/>
    <xf numFmtId="0" fontId="24" fillId="18" borderId="10" xfId="0" applyFont="1" applyFill="1" applyBorder="1" applyAlignment="1">
      <alignment wrapText="1"/>
    </xf>
    <xf numFmtId="0" fontId="25" fillId="11" borderId="9" xfId="0" applyFont="1" applyFill="1" applyBorder="1"/>
    <xf numFmtId="0" fontId="25" fillId="11" borderId="20" xfId="0" applyFont="1" applyFill="1" applyBorder="1"/>
    <xf numFmtId="0" fontId="25" fillId="0" borderId="0" xfId="0" applyFont="1"/>
    <xf numFmtId="0" fontId="39" fillId="19" borderId="11" xfId="0" applyFont="1" applyFill="1" applyBorder="1" applyAlignment="1">
      <alignment horizontal="center"/>
    </xf>
    <xf numFmtId="0" fontId="39" fillId="9" borderId="11" xfId="0" applyFont="1" applyFill="1" applyBorder="1" applyAlignment="1">
      <alignment horizontal="center" vertical="center" wrapText="1"/>
    </xf>
    <xf numFmtId="0" fontId="39" fillId="9" borderId="11" xfId="0" applyFont="1" applyFill="1" applyBorder="1" applyAlignment="1">
      <alignment horizontal="center" vertical="center"/>
    </xf>
    <xf numFmtId="0" fontId="39" fillId="9" borderId="11" xfId="0" applyFont="1" applyFill="1" applyBorder="1" applyAlignment="1">
      <alignment horizontal="center" vertical="top" wrapText="1"/>
    </xf>
    <xf numFmtId="0" fontId="39" fillId="9" borderId="11" xfId="0" applyFont="1" applyFill="1" applyBorder="1" applyAlignment="1">
      <alignment horizontal="center" vertical="top"/>
    </xf>
    <xf numFmtId="0" fontId="10" fillId="7" borderId="7"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7" borderId="2" xfId="0" applyFont="1" applyFill="1" applyBorder="1" applyAlignment="1">
      <alignment horizontal="left" vertical="top" wrapText="1"/>
    </xf>
    <xf numFmtId="0" fontId="8" fillId="5" borderId="0" xfId="0" applyFont="1" applyFill="1" applyAlignment="1">
      <alignment horizontal="center"/>
    </xf>
    <xf numFmtId="0" fontId="3" fillId="28" borderId="0" xfId="0" applyFont="1" applyFill="1" applyAlignment="1">
      <alignment horizontal="center" vertical="center" wrapText="1"/>
    </xf>
    <xf numFmtId="0" fontId="4" fillId="5" borderId="0" xfId="0" applyFont="1" applyFill="1" applyAlignment="1">
      <alignment horizontal="center"/>
    </xf>
    <xf numFmtId="0" fontId="5" fillId="3" borderId="0" xfId="0" applyFont="1" applyFill="1" applyAlignment="1">
      <alignment horizontal="center"/>
    </xf>
    <xf numFmtId="0" fontId="2" fillId="5" borderId="0" xfId="0" applyFont="1" applyFill="1" applyAlignment="1">
      <alignment horizontal="center"/>
    </xf>
    <xf numFmtId="0" fontId="47" fillId="28" borderId="0" xfId="0" applyFont="1" applyFill="1" applyAlignment="1">
      <alignment horizontal="center" vertical="center" wrapText="1"/>
    </xf>
    <xf numFmtId="0" fontId="3" fillId="5" borderId="0" xfId="0" applyFont="1" applyFill="1" applyAlignment="1">
      <alignment horizontal="center"/>
    </xf>
    <xf numFmtId="0" fontId="46" fillId="5" borderId="0" xfId="0" applyFont="1" applyFill="1" applyAlignment="1">
      <alignment horizontal="center"/>
    </xf>
    <xf numFmtId="0" fontId="0" fillId="2" borderId="0" xfId="0" applyFill="1" applyAlignment="1">
      <alignment horizontal="center"/>
    </xf>
    <xf numFmtId="0" fontId="35" fillId="25" borderId="2" xfId="0" applyFont="1" applyFill="1" applyBorder="1" applyAlignment="1">
      <alignment horizontal="center" vertical="center" wrapText="1"/>
    </xf>
    <xf numFmtId="0" fontId="10" fillId="23" borderId="2" xfId="0" applyFont="1" applyFill="1" applyBorder="1" applyAlignment="1">
      <alignment vertical="center" wrapText="1"/>
    </xf>
  </cellXfs>
  <cellStyles count="4">
    <cellStyle name="Normal" xfId="0" builtinId="0"/>
    <cellStyle name="Normal 15" xfId="2" xr:uid="{2B1338B2-638F-4F4C-8714-8C1140669D4C}"/>
    <cellStyle name="Normal 4 3" xfId="1" xr:uid="{C20725F9-8C1E-4B18-B010-F185F602D233}"/>
    <cellStyle name="Normal 4 4" xfId="3" xr:uid="{6418C855-BE95-432E-BB35-3FC4B2B61461}"/>
  </cellStyles>
  <dxfs count="123">
    <dxf>
      <font>
        <color auto="1"/>
      </font>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7030A0"/>
        </patternFill>
      </fill>
    </dxf>
    <dxf>
      <font>
        <color theme="0"/>
      </font>
      <fill>
        <patternFill>
          <bgColor theme="0"/>
        </patternFill>
      </fill>
    </dxf>
    <dxf>
      <fill>
        <patternFill>
          <bgColor theme="0"/>
        </patternFill>
      </fill>
    </dxf>
    <dxf>
      <font>
        <color auto="1"/>
      </font>
      <fill>
        <patternFill patternType="solid">
          <bgColor rgb="FFFFFFFF"/>
        </patternFill>
      </fill>
    </dxf>
    <dxf>
      <font>
        <color auto="1"/>
      </font>
      <fill>
        <patternFill patternType="solid">
          <bgColor rgb="FFFFFFFF"/>
        </patternFill>
      </fill>
    </dxf>
    <dxf>
      <font>
        <color auto="1"/>
      </font>
      <fill>
        <patternFill patternType="solid">
          <bgColor rgb="FFFFFFFF"/>
        </patternFill>
      </fill>
    </dxf>
    <dxf>
      <font>
        <b/>
        <i val="0"/>
        <color rgb="FF00B050"/>
      </font>
    </dxf>
    <dxf>
      <font>
        <b/>
        <i val="0"/>
        <color rgb="FFFF0000"/>
      </font>
    </dxf>
    <dxf>
      <font>
        <b/>
        <i val="0"/>
        <color rgb="FF0070C0"/>
      </font>
    </dxf>
    <dxf>
      <font>
        <b/>
        <i val="0"/>
        <color theme="5"/>
      </font>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ont>
        <color auto="1"/>
      </font>
      <fill>
        <patternFill patternType="solid">
          <bgColor rgb="FFFFFFFF"/>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7030A0"/>
        </patternFill>
      </fill>
    </dxf>
    <dxf>
      <font>
        <color theme="0"/>
      </font>
    </dxf>
    <dxf>
      <font>
        <color theme="0"/>
      </font>
      <fill>
        <patternFill>
          <bgColor theme="0"/>
        </patternFill>
      </fill>
    </dxf>
    <dxf>
      <font>
        <color auto="1"/>
      </font>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7030A0"/>
        </patternFill>
      </fill>
    </dxf>
    <dxf>
      <fill>
        <patternFill>
          <bgColor theme="0"/>
        </patternFill>
      </fill>
    </dxf>
    <dxf>
      <font>
        <color theme="0"/>
      </font>
      <fill>
        <patternFill>
          <bgColor theme="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patternType="solid">
          <fgColor rgb="FF000000"/>
          <bgColor rgb="FFFFFFFF"/>
        </patternFill>
      </fill>
      <alignment horizontal="center" vertical="center" textRotation="0" wrapText="1" indent="0" justifyLastLine="0" shrinkToFit="0" readingOrder="0"/>
      <border diagonalUp="0" diagonalDown="0">
        <left style="thin">
          <color rgb="FF000000"/>
        </left>
        <right style="thin">
          <color rgb="FF000000"/>
        </right>
        <top/>
        <bottom/>
      </border>
    </dxf>
    <dxf>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fill>
        <patternFill patternType="solid">
          <fgColor rgb="FF000000"/>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border outline="0">
        <left style="thin">
          <color rgb="FF000000"/>
        </left>
        <right style="thin">
          <color rgb="FF000000"/>
        </right>
        <top style="thin">
          <color rgb="FF000000"/>
        </top>
        <bottom style="thin">
          <color rgb="FF000000"/>
        </bottom>
      </border>
    </dxf>
    <dxf>
      <fill>
        <patternFill patternType="solid">
          <fgColor rgb="FF000000"/>
          <bgColor rgb="FFFFFFFF"/>
        </patternFill>
      </fill>
      <alignment horizontal="center" vertical="center" textRotation="0" wrapText="1" indent="0" justifyLastLine="0" shrinkToFit="0" readingOrder="0"/>
    </dxf>
    <dxf>
      <border outline="0">
        <bottom style="thin">
          <color rgb="FF000000"/>
        </bottom>
      </border>
    </dxf>
    <dxf>
      <font>
        <b val="0"/>
        <i val="0"/>
        <strike val="0"/>
        <condense val="0"/>
        <extend val="0"/>
        <outline val="0"/>
        <shadow val="0"/>
        <u val="none"/>
        <vertAlign val="baseline"/>
        <sz val="11"/>
        <color theme="0"/>
        <name val="Arial"/>
        <family val="2"/>
        <scheme val="none"/>
      </font>
      <fill>
        <patternFill patternType="solid">
          <fgColor indexed="64"/>
          <bgColor theme="4" tint="-0.49998474074526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solid">
          <fgColor rgb="FF000000"/>
          <bgColor rgb="FFFFFFFF"/>
        </patternFill>
      </fill>
      <alignment horizontal="center"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1"/>
        <color theme="0"/>
        <name val="Arial"/>
        <family val="2"/>
        <scheme val="none"/>
      </font>
      <fill>
        <patternFill patternType="solid">
          <fgColor indexed="64"/>
          <bgColor theme="4" tint="-0.49998474074526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14</xdr:col>
      <xdr:colOff>140108</xdr:colOff>
      <xdr:row>1</xdr:row>
      <xdr:rowOff>123826</xdr:rowOff>
    </xdr:from>
    <xdr:to>
      <xdr:col>18</xdr:col>
      <xdr:colOff>328613</xdr:colOff>
      <xdr:row>7</xdr:row>
      <xdr:rowOff>47626</xdr:rowOff>
    </xdr:to>
    <xdr:pic>
      <xdr:nvPicPr>
        <xdr:cNvPr id="2" name="Picture 1">
          <a:extLst>
            <a:ext uri="{FF2B5EF4-FFF2-40B4-BE49-F238E27FC236}">
              <a16:creationId xmlns:a16="http://schemas.microsoft.com/office/drawing/2014/main" id="{D1E9EB5F-D53D-4211-A959-D096FC33A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19408" y="301626"/>
          <a:ext cx="275390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140108</xdr:colOff>
      <xdr:row>1</xdr:row>
      <xdr:rowOff>123826</xdr:rowOff>
    </xdr:from>
    <xdr:to>
      <xdr:col>18</xdr:col>
      <xdr:colOff>328613</xdr:colOff>
      <xdr:row>7</xdr:row>
      <xdr:rowOff>47626</xdr:rowOff>
    </xdr:to>
    <xdr:pic>
      <xdr:nvPicPr>
        <xdr:cNvPr id="2" name="Picture 1">
          <a:extLst>
            <a:ext uri="{FF2B5EF4-FFF2-40B4-BE49-F238E27FC236}">
              <a16:creationId xmlns:a16="http://schemas.microsoft.com/office/drawing/2014/main" id="{7103101B-2604-42C3-862F-E9B4A67D53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50908" y="301626"/>
          <a:ext cx="275390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555625</xdr:colOff>
      <xdr:row>42</xdr:row>
      <xdr:rowOff>142875</xdr:rowOff>
    </xdr:from>
    <xdr:to>
      <xdr:col>1</xdr:col>
      <xdr:colOff>701675</xdr:colOff>
      <xdr:row>54</xdr:row>
      <xdr:rowOff>129368</xdr:rowOff>
    </xdr:to>
    <xdr:pic>
      <xdr:nvPicPr>
        <xdr:cNvPr id="2" name="Picture 1">
          <a:extLst>
            <a:ext uri="{FF2B5EF4-FFF2-40B4-BE49-F238E27FC236}">
              <a16:creationId xmlns:a16="http://schemas.microsoft.com/office/drawing/2014/main" id="{E6EA06F5-D834-4762-9E1F-128EB8F730E9}"/>
            </a:ext>
          </a:extLst>
        </xdr:cNvPr>
        <xdr:cNvPicPr>
          <a:picLocks noChangeAspect="1"/>
        </xdr:cNvPicPr>
      </xdr:nvPicPr>
      <xdr:blipFill>
        <a:blip xmlns:r="http://schemas.openxmlformats.org/officeDocument/2006/relationships" r:embed="rId1"/>
        <a:stretch>
          <a:fillRect/>
        </a:stretch>
      </xdr:blipFill>
      <xdr:spPr>
        <a:xfrm>
          <a:off x="555625" y="39227125"/>
          <a:ext cx="1295400" cy="2132793"/>
        </a:xfrm>
        <a:prstGeom prst="rect">
          <a:avLst/>
        </a:prstGeom>
      </xdr:spPr>
    </xdr:pic>
    <xdr:clientData/>
  </xdr:twoCellAnchor>
  <xdr:twoCellAnchor editAs="oneCell">
    <xdr:from>
      <xdr:col>1</xdr:col>
      <xdr:colOff>476250</xdr:colOff>
      <xdr:row>42</xdr:row>
      <xdr:rowOff>111125</xdr:rowOff>
    </xdr:from>
    <xdr:to>
      <xdr:col>2</xdr:col>
      <xdr:colOff>646914</xdr:colOff>
      <xdr:row>54</xdr:row>
      <xdr:rowOff>103188</xdr:rowOff>
    </xdr:to>
    <xdr:pic>
      <xdr:nvPicPr>
        <xdr:cNvPr id="3" name="Picture 2">
          <a:extLst>
            <a:ext uri="{FF2B5EF4-FFF2-40B4-BE49-F238E27FC236}">
              <a16:creationId xmlns:a16="http://schemas.microsoft.com/office/drawing/2014/main" id="{78C06B07-F14E-4A53-B215-328328980B59}"/>
            </a:ext>
          </a:extLst>
        </xdr:cNvPr>
        <xdr:cNvPicPr>
          <a:picLocks noChangeAspect="1"/>
        </xdr:cNvPicPr>
      </xdr:nvPicPr>
      <xdr:blipFill>
        <a:blip xmlns:r="http://schemas.openxmlformats.org/officeDocument/2006/relationships" r:embed="rId2"/>
        <a:stretch>
          <a:fillRect/>
        </a:stretch>
      </xdr:blipFill>
      <xdr:spPr>
        <a:xfrm>
          <a:off x="1625600" y="39195375"/>
          <a:ext cx="1326364" cy="2138363"/>
        </a:xfrm>
        <a:prstGeom prst="rect">
          <a:avLst/>
        </a:prstGeom>
      </xdr:spPr>
    </xdr:pic>
    <xdr:clientData/>
  </xdr:twoCellAnchor>
  <xdr:twoCellAnchor editAs="oneCell">
    <xdr:from>
      <xdr:col>2</xdr:col>
      <xdr:colOff>508000</xdr:colOff>
      <xdr:row>43</xdr:row>
      <xdr:rowOff>0</xdr:rowOff>
    </xdr:from>
    <xdr:to>
      <xdr:col>3</xdr:col>
      <xdr:colOff>391432</xdr:colOff>
      <xdr:row>55</xdr:row>
      <xdr:rowOff>25907</xdr:rowOff>
    </xdr:to>
    <xdr:pic>
      <xdr:nvPicPr>
        <xdr:cNvPr id="4" name="Picture 3">
          <a:extLst>
            <a:ext uri="{FF2B5EF4-FFF2-40B4-BE49-F238E27FC236}">
              <a16:creationId xmlns:a16="http://schemas.microsoft.com/office/drawing/2014/main" id="{BDF11B27-F445-496F-B3E2-29A362012002}"/>
            </a:ext>
          </a:extLst>
        </xdr:cNvPr>
        <xdr:cNvPicPr>
          <a:picLocks noChangeAspect="1"/>
        </xdr:cNvPicPr>
      </xdr:nvPicPr>
      <xdr:blipFill>
        <a:blip xmlns:r="http://schemas.openxmlformats.org/officeDocument/2006/relationships" r:embed="rId3"/>
        <a:stretch>
          <a:fillRect/>
        </a:stretch>
      </xdr:blipFill>
      <xdr:spPr>
        <a:xfrm>
          <a:off x="2813050" y="39268400"/>
          <a:ext cx="1293132" cy="2165858"/>
        </a:xfrm>
        <a:prstGeom prst="rect">
          <a:avLst/>
        </a:prstGeom>
      </xdr:spPr>
    </xdr:pic>
    <xdr:clientData/>
  </xdr:twoCellAnchor>
  <xdr:twoCellAnchor editAs="oneCell">
    <xdr:from>
      <xdr:col>3</xdr:col>
      <xdr:colOff>444500</xdr:colOff>
      <xdr:row>42</xdr:row>
      <xdr:rowOff>110567</xdr:rowOff>
    </xdr:from>
    <xdr:to>
      <xdr:col>4</xdr:col>
      <xdr:colOff>699369</xdr:colOff>
      <xdr:row>55</xdr:row>
      <xdr:rowOff>17463</xdr:rowOff>
    </xdr:to>
    <xdr:pic>
      <xdr:nvPicPr>
        <xdr:cNvPr id="5" name="Picture 4">
          <a:extLst>
            <a:ext uri="{FF2B5EF4-FFF2-40B4-BE49-F238E27FC236}">
              <a16:creationId xmlns:a16="http://schemas.microsoft.com/office/drawing/2014/main" id="{D93D7081-AB67-4A1A-AF96-B83352D37B50}"/>
            </a:ext>
          </a:extLst>
        </xdr:cNvPr>
        <xdr:cNvPicPr>
          <a:picLocks noChangeAspect="1"/>
        </xdr:cNvPicPr>
      </xdr:nvPicPr>
      <xdr:blipFill>
        <a:blip xmlns:r="http://schemas.openxmlformats.org/officeDocument/2006/relationships" r:embed="rId4"/>
        <a:stretch>
          <a:fillRect/>
        </a:stretch>
      </xdr:blipFill>
      <xdr:spPr>
        <a:xfrm>
          <a:off x="4159250" y="39194817"/>
          <a:ext cx="1442319" cy="2230996"/>
        </a:xfrm>
        <a:prstGeom prst="rect">
          <a:avLst/>
        </a:prstGeom>
      </xdr:spPr>
    </xdr:pic>
    <xdr:clientData/>
  </xdr:twoCellAnchor>
  <xdr:twoCellAnchor>
    <xdr:from>
      <xdr:col>4</xdr:col>
      <xdr:colOff>1984374</xdr:colOff>
      <xdr:row>42</xdr:row>
      <xdr:rowOff>0</xdr:rowOff>
    </xdr:from>
    <xdr:to>
      <xdr:col>8</xdr:col>
      <xdr:colOff>1396999</xdr:colOff>
      <xdr:row>51</xdr:row>
      <xdr:rowOff>79375</xdr:rowOff>
    </xdr:to>
    <xdr:sp macro="" textlink="">
      <xdr:nvSpPr>
        <xdr:cNvPr id="6" name="Text Box 4">
          <a:extLst>
            <a:ext uri="{FF2B5EF4-FFF2-40B4-BE49-F238E27FC236}">
              <a16:creationId xmlns:a16="http://schemas.microsoft.com/office/drawing/2014/main" id="{9611FDC2-196A-4402-B992-DEFBBD332DAE}"/>
            </a:ext>
            <a:ext uri="{147F2762-F138-4A5C-976F-8EAC2B608ADB}">
              <a16:predDERef xmlns:a16="http://schemas.microsoft.com/office/drawing/2014/main" pred="{8DD56E56-3EE5-4057-86B7-027A8148922D}"/>
            </a:ext>
          </a:extLst>
        </xdr:cNvPr>
        <xdr:cNvSpPr txBox="1">
          <a:spLocks noChangeArrowheads="1"/>
        </xdr:cNvSpPr>
      </xdr:nvSpPr>
      <xdr:spPr bwMode="auto">
        <a:xfrm>
          <a:off x="6105524" y="39084250"/>
          <a:ext cx="5578475" cy="16922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r>
            <a:rPr lang="en-US" sz="1200" b="1">
              <a:effectLst/>
              <a:latin typeface="Arial" panose="020B0604020202020204" pitchFamily="34" charset="0"/>
              <a:ea typeface="Times New Roman" panose="02020603050405020304" pitchFamily="18" charset="0"/>
              <a:cs typeface="Times New Roman" panose="02020603050405020304" pitchFamily="18" charset="0"/>
            </a:rPr>
            <a:t>Domains</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marL="114300" indent="-114300"/>
          <a:r>
            <a:rPr lang="en-US" sz="1200">
              <a:effectLst/>
              <a:latin typeface="Arial" panose="020B0604020202020204" pitchFamily="34" charset="0"/>
              <a:ea typeface="Times New Roman" panose="02020603050405020304" pitchFamily="18" charset="0"/>
              <a:cs typeface="Times New Roman" panose="02020603050405020304" pitchFamily="18" charset="0"/>
            </a:rPr>
            <a:t>1. Adverse publicity/ reputation</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r>
            <a:rPr lang="en-US" sz="1200">
              <a:effectLst/>
              <a:latin typeface="Arial" panose="020B0604020202020204" pitchFamily="34" charset="0"/>
              <a:ea typeface="Times New Roman" panose="02020603050405020304" pitchFamily="18" charset="0"/>
              <a:cs typeface="Times New Roman" panose="02020603050405020304" pitchFamily="18" charset="0"/>
            </a:rPr>
            <a:t>2. Business Objectives/ Projects</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r>
            <a:rPr lang="en-US" sz="1200">
              <a:effectLst/>
              <a:latin typeface="Arial" panose="020B0604020202020204" pitchFamily="34" charset="0"/>
              <a:ea typeface="Times New Roman" panose="02020603050405020304" pitchFamily="18" charset="0"/>
              <a:cs typeface="Times New Roman" panose="02020603050405020304" pitchFamily="18" charset="0"/>
            </a:rPr>
            <a:t>3. Finance including claims</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marL="114300" indent="-114300"/>
          <a:r>
            <a:rPr lang="en-US" sz="1200">
              <a:effectLst/>
              <a:latin typeface="Arial" panose="020B0604020202020204" pitchFamily="34" charset="0"/>
              <a:ea typeface="Times New Roman" panose="02020603050405020304" pitchFamily="18" charset="0"/>
              <a:cs typeface="Times New Roman" panose="02020603050405020304" pitchFamily="18" charset="0"/>
            </a:rPr>
            <a:t>4. Human Resources/ Organisational Development/ Staffing/ Competence</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marL="114300" indent="-114300"/>
          <a:r>
            <a:rPr lang="en-US" sz="1200">
              <a:effectLst/>
              <a:latin typeface="Arial" panose="020B0604020202020204" pitchFamily="34" charset="0"/>
              <a:ea typeface="Times New Roman" panose="02020603050405020304" pitchFamily="18" charset="0"/>
              <a:cs typeface="Times New Roman" panose="02020603050405020304" pitchFamily="18" charset="0"/>
            </a:rPr>
            <a:t>5. Impact on the safety of patients, staff or public (phys/psych)</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r>
            <a:rPr lang="en-US" sz="1200">
              <a:effectLst/>
              <a:latin typeface="Arial" panose="020B0604020202020204" pitchFamily="34" charset="0"/>
              <a:ea typeface="Times New Roman" panose="02020603050405020304" pitchFamily="18" charset="0"/>
              <a:cs typeface="Times New Roman" panose="02020603050405020304" pitchFamily="18" charset="0"/>
            </a:rPr>
            <a:t>6. Quality/ Complaints/ Audit</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r>
            <a:rPr lang="en-US" sz="1200">
              <a:effectLst/>
              <a:latin typeface="Arial" panose="020B0604020202020204" pitchFamily="34" charset="0"/>
              <a:ea typeface="Times New Roman" panose="02020603050405020304" pitchFamily="18" charset="0"/>
              <a:cs typeface="Times New Roman" panose="02020603050405020304" pitchFamily="18" charset="0"/>
            </a:rPr>
            <a:t>7. Service/Business Interruption/ Environmental Impact</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r>
            <a:rPr lang="en-US" sz="1200">
              <a:effectLst/>
              <a:latin typeface="Arial" panose="020B0604020202020204" pitchFamily="34" charset="0"/>
              <a:ea typeface="Times New Roman" panose="02020603050405020304" pitchFamily="18" charset="0"/>
              <a:cs typeface="Times New Roman" panose="02020603050405020304" pitchFamily="18" charset="0"/>
            </a:rPr>
            <a:t>8. Statutory Duties/ Inspections</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55562</xdr:colOff>
      <xdr:row>5</xdr:row>
      <xdr:rowOff>7937</xdr:rowOff>
    </xdr:from>
    <xdr:to>
      <xdr:col>3</xdr:col>
      <xdr:colOff>519906</xdr:colOff>
      <xdr:row>10</xdr:row>
      <xdr:rowOff>166007</xdr:rowOff>
    </xdr:to>
    <xdr:sp macro="" textlink="">
      <xdr:nvSpPr>
        <xdr:cNvPr id="2" name="Rectangle: Rounded Corners 1">
          <a:extLst>
            <a:ext uri="{FF2B5EF4-FFF2-40B4-BE49-F238E27FC236}">
              <a16:creationId xmlns:a16="http://schemas.microsoft.com/office/drawing/2014/main" id="{C7947396-7758-432C-A110-CFDEF0F7F9F8}"/>
            </a:ext>
          </a:extLst>
        </xdr:cNvPr>
        <xdr:cNvSpPr/>
      </xdr:nvSpPr>
      <xdr:spPr>
        <a:xfrm>
          <a:off x="55562" y="1239837"/>
          <a:ext cx="2293144" cy="1078820"/>
        </a:xfrm>
        <a:prstGeom prst="roundRect">
          <a:avLst/>
        </a:prstGeom>
        <a:solidFill>
          <a:srgbClr val="CFA7F7"/>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SY028:  Cancer - Oncology Workforce Challenges</a:t>
          </a:r>
        </a:p>
        <a:p>
          <a:pPr marL="0" marR="0" lvl="0" indent="0" algn="ctr" defTabSz="914400" eaLnBrk="1" fontAlgn="auto" latinLnBrk="0" hangingPunct="1">
            <a:lnSpc>
              <a:spcPct val="100000"/>
            </a:lnSpc>
            <a:spcBef>
              <a:spcPts val="0"/>
            </a:spcBef>
            <a:spcAft>
              <a:spcPts val="0"/>
            </a:spcAft>
            <a:buClrTx/>
            <a:buSzTx/>
            <a:buFontTx/>
            <a:buNone/>
            <a:tabLst/>
            <a:defRPr/>
          </a:pPr>
          <a:r>
            <a:rPr lang="en-GB" sz="1100" b="1" baseline="0">
              <a:solidFill>
                <a:srgbClr val="FF0000"/>
              </a:solidFill>
              <a:effectLst/>
              <a:latin typeface="+mn-lt"/>
              <a:ea typeface="+mn-ea"/>
              <a:cs typeface="+mn-cs"/>
            </a:rPr>
            <a:t>Accountable</a:t>
          </a:r>
          <a:endParaRPr lang="en-GB" b="1">
            <a:solidFill>
              <a:srgbClr val="FF0000"/>
            </a:solidFill>
            <a:effectLst/>
          </a:endParaRPr>
        </a:p>
        <a:p>
          <a:pPr algn="ctr"/>
          <a:endParaRPr lang="en-GB" sz="1100" b="1">
            <a:solidFill>
              <a:srgbClr val="00B050"/>
            </a:solidFill>
          </a:endParaRPr>
        </a:p>
      </xdr:txBody>
    </xdr:sp>
    <xdr:clientData/>
  </xdr:twoCellAnchor>
  <xdr:twoCellAnchor>
    <xdr:from>
      <xdr:col>1</xdr:col>
      <xdr:colOff>245834</xdr:colOff>
      <xdr:row>9</xdr:row>
      <xdr:rowOff>41956</xdr:rowOff>
    </xdr:from>
    <xdr:to>
      <xdr:col>2</xdr:col>
      <xdr:colOff>228371</xdr:colOff>
      <xdr:row>10</xdr:row>
      <xdr:rowOff>77939</xdr:rowOff>
    </xdr:to>
    <xdr:sp macro="" textlink="">
      <xdr:nvSpPr>
        <xdr:cNvPr id="3" name="Rectangle 2">
          <a:extLst>
            <a:ext uri="{FF2B5EF4-FFF2-40B4-BE49-F238E27FC236}">
              <a16:creationId xmlns:a16="http://schemas.microsoft.com/office/drawing/2014/main" id="{C6E9C7DF-47B4-4700-B0D0-56A778D5C2AB}"/>
            </a:ext>
          </a:extLst>
        </xdr:cNvPr>
        <xdr:cNvSpPr/>
      </xdr:nvSpPr>
      <xdr:spPr>
        <a:xfrm>
          <a:off x="855434" y="2010456"/>
          <a:ext cx="592137" cy="22013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16</a:t>
          </a:r>
        </a:p>
      </xdr:txBody>
    </xdr:sp>
    <xdr:clientData/>
  </xdr:twoCellAnchor>
  <xdr:twoCellAnchor>
    <xdr:from>
      <xdr:col>0</xdr:col>
      <xdr:colOff>0</xdr:colOff>
      <xdr:row>12</xdr:row>
      <xdr:rowOff>0</xdr:rowOff>
    </xdr:from>
    <xdr:to>
      <xdr:col>3</xdr:col>
      <xdr:colOff>464344</xdr:colOff>
      <xdr:row>17</xdr:row>
      <xdr:rowOff>158069</xdr:rowOff>
    </xdr:to>
    <xdr:sp macro="" textlink="">
      <xdr:nvSpPr>
        <xdr:cNvPr id="4" name="Rectangle: Rounded Corners 3">
          <a:extLst>
            <a:ext uri="{FF2B5EF4-FFF2-40B4-BE49-F238E27FC236}">
              <a16:creationId xmlns:a16="http://schemas.microsoft.com/office/drawing/2014/main" id="{6DE7FBBC-0D05-4ED3-8B66-67BA552429EA}"/>
            </a:ext>
          </a:extLst>
        </xdr:cNvPr>
        <xdr:cNvSpPr/>
      </xdr:nvSpPr>
      <xdr:spPr>
        <a:xfrm>
          <a:off x="0" y="2520950"/>
          <a:ext cx="2293144" cy="1078819"/>
        </a:xfrm>
        <a:prstGeom prst="roundRect">
          <a:avLst/>
        </a:prstGeom>
        <a:solidFill>
          <a:srgbClr val="CFA7F7"/>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SY115:  Cancer - Operational Recovery</a:t>
          </a:r>
        </a:p>
        <a:p>
          <a:pPr marL="0" marR="0" lvl="0" indent="0" algn="ctr" defTabSz="914400" eaLnBrk="1" fontAlgn="auto" latinLnBrk="0" hangingPunct="1">
            <a:lnSpc>
              <a:spcPct val="100000"/>
            </a:lnSpc>
            <a:spcBef>
              <a:spcPts val="0"/>
            </a:spcBef>
            <a:spcAft>
              <a:spcPts val="0"/>
            </a:spcAft>
            <a:buClrTx/>
            <a:buSzTx/>
            <a:buFontTx/>
            <a:buNone/>
            <a:tabLst/>
            <a:defRPr/>
          </a:pPr>
          <a:r>
            <a:rPr lang="en-GB" sz="1100" b="1" baseline="0">
              <a:solidFill>
                <a:srgbClr val="FF0000"/>
              </a:solidFill>
              <a:effectLst/>
              <a:latin typeface="+mn-lt"/>
              <a:ea typeface="+mn-ea"/>
              <a:cs typeface="+mn-cs"/>
            </a:rPr>
            <a:t>Accountable</a:t>
          </a:r>
          <a:endParaRPr lang="en-GB" b="1">
            <a:solidFill>
              <a:srgbClr val="FF0000"/>
            </a:solidFill>
            <a:effectLst/>
          </a:endParaRPr>
        </a:p>
        <a:p>
          <a:pPr algn="ctr"/>
          <a:endParaRPr lang="en-GB" sz="1100" b="1">
            <a:solidFill>
              <a:srgbClr val="00B050"/>
            </a:solidFill>
          </a:endParaRPr>
        </a:p>
      </xdr:txBody>
    </xdr:sp>
    <xdr:clientData/>
  </xdr:twoCellAnchor>
  <xdr:twoCellAnchor>
    <xdr:from>
      <xdr:col>1</xdr:col>
      <xdr:colOff>190272</xdr:colOff>
      <xdr:row>16</xdr:row>
      <xdr:rowOff>34019</xdr:rowOff>
    </xdr:from>
    <xdr:to>
      <xdr:col>2</xdr:col>
      <xdr:colOff>172809</xdr:colOff>
      <xdr:row>17</xdr:row>
      <xdr:rowOff>70001</xdr:rowOff>
    </xdr:to>
    <xdr:sp macro="" textlink="">
      <xdr:nvSpPr>
        <xdr:cNvPr id="5" name="Rectangle 4">
          <a:extLst>
            <a:ext uri="{FF2B5EF4-FFF2-40B4-BE49-F238E27FC236}">
              <a16:creationId xmlns:a16="http://schemas.microsoft.com/office/drawing/2014/main" id="{0823B790-4085-4635-BCD1-12E6EDF65598}"/>
            </a:ext>
          </a:extLst>
        </xdr:cNvPr>
        <xdr:cNvSpPr/>
      </xdr:nvSpPr>
      <xdr:spPr>
        <a:xfrm>
          <a:off x="799872" y="3291569"/>
          <a:ext cx="592137" cy="220132"/>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bg1"/>
              </a:solidFill>
            </a:rPr>
            <a:t>16</a:t>
          </a:r>
        </a:p>
      </xdr:txBody>
    </xdr:sp>
    <xdr:clientData/>
  </xdr:twoCellAnchor>
  <xdr:twoCellAnchor>
    <xdr:from>
      <xdr:col>0</xdr:col>
      <xdr:colOff>0</xdr:colOff>
      <xdr:row>19</xdr:row>
      <xdr:rowOff>15876</xdr:rowOff>
    </xdr:from>
    <xdr:to>
      <xdr:col>3</xdr:col>
      <xdr:colOff>464344</xdr:colOff>
      <xdr:row>24</xdr:row>
      <xdr:rowOff>173946</xdr:rowOff>
    </xdr:to>
    <xdr:sp macro="" textlink="">
      <xdr:nvSpPr>
        <xdr:cNvPr id="6" name="Rectangle: Rounded Corners 5">
          <a:extLst>
            <a:ext uri="{FF2B5EF4-FFF2-40B4-BE49-F238E27FC236}">
              <a16:creationId xmlns:a16="http://schemas.microsoft.com/office/drawing/2014/main" id="{F5F341E9-E3DC-4B67-87A4-103FE970F8A8}"/>
            </a:ext>
          </a:extLst>
        </xdr:cNvPr>
        <xdr:cNvSpPr/>
      </xdr:nvSpPr>
      <xdr:spPr>
        <a:xfrm>
          <a:off x="0" y="3825876"/>
          <a:ext cx="2293144" cy="1078820"/>
        </a:xfrm>
        <a:prstGeom prst="roundRect">
          <a:avLst/>
        </a:prstGeom>
        <a:solidFill>
          <a:srgbClr val="CFA7F7"/>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SY116:  Cancer - Operational Recovery</a:t>
          </a:r>
        </a:p>
        <a:p>
          <a:pPr marL="0" marR="0" lvl="0" indent="0" algn="ctr" defTabSz="914400" eaLnBrk="1" fontAlgn="auto" latinLnBrk="0" hangingPunct="1">
            <a:lnSpc>
              <a:spcPct val="100000"/>
            </a:lnSpc>
            <a:spcBef>
              <a:spcPts val="0"/>
            </a:spcBef>
            <a:spcAft>
              <a:spcPts val="0"/>
            </a:spcAft>
            <a:buClrTx/>
            <a:buSzTx/>
            <a:buFontTx/>
            <a:buNone/>
            <a:tabLst/>
            <a:defRPr/>
          </a:pPr>
          <a:r>
            <a:rPr lang="en-GB" sz="1100" b="1" baseline="0">
              <a:solidFill>
                <a:srgbClr val="FF0000"/>
              </a:solidFill>
              <a:effectLst/>
              <a:latin typeface="+mn-lt"/>
              <a:ea typeface="+mn-ea"/>
              <a:cs typeface="+mn-cs"/>
            </a:rPr>
            <a:t>Accountable</a:t>
          </a:r>
          <a:endParaRPr lang="en-GB" b="1">
            <a:solidFill>
              <a:srgbClr val="FF0000"/>
            </a:solidFill>
            <a:effectLst/>
          </a:endParaRPr>
        </a:p>
        <a:p>
          <a:pPr algn="ctr"/>
          <a:endParaRPr lang="en-GB" sz="1100" b="1">
            <a:solidFill>
              <a:srgbClr val="00B050"/>
            </a:solidFill>
          </a:endParaRPr>
        </a:p>
      </xdr:txBody>
    </xdr:sp>
    <xdr:clientData/>
  </xdr:twoCellAnchor>
  <xdr:twoCellAnchor>
    <xdr:from>
      <xdr:col>1</xdr:col>
      <xdr:colOff>190272</xdr:colOff>
      <xdr:row>23</xdr:row>
      <xdr:rowOff>49895</xdr:rowOff>
    </xdr:from>
    <xdr:to>
      <xdr:col>2</xdr:col>
      <xdr:colOff>172809</xdr:colOff>
      <xdr:row>24</xdr:row>
      <xdr:rowOff>85878</xdr:rowOff>
    </xdr:to>
    <xdr:sp macro="" textlink="">
      <xdr:nvSpPr>
        <xdr:cNvPr id="7" name="Rectangle 6">
          <a:extLst>
            <a:ext uri="{FF2B5EF4-FFF2-40B4-BE49-F238E27FC236}">
              <a16:creationId xmlns:a16="http://schemas.microsoft.com/office/drawing/2014/main" id="{F1DC2DB6-10BD-4D62-8F53-D9D0976F2658}"/>
            </a:ext>
          </a:extLst>
        </xdr:cNvPr>
        <xdr:cNvSpPr/>
      </xdr:nvSpPr>
      <xdr:spPr>
        <a:xfrm>
          <a:off x="799872" y="4596495"/>
          <a:ext cx="592137" cy="22013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bg1"/>
              </a:solidFill>
            </a:rPr>
            <a:t>16</a:t>
          </a:r>
        </a:p>
      </xdr:txBody>
    </xdr:sp>
    <xdr:clientData/>
  </xdr:twoCellAnchor>
  <xdr:twoCellAnchor>
    <xdr:from>
      <xdr:col>0</xdr:col>
      <xdr:colOff>0</xdr:colOff>
      <xdr:row>26</xdr:row>
      <xdr:rowOff>0</xdr:rowOff>
    </xdr:from>
    <xdr:to>
      <xdr:col>3</xdr:col>
      <xdr:colOff>464344</xdr:colOff>
      <xdr:row>31</xdr:row>
      <xdr:rowOff>158069</xdr:rowOff>
    </xdr:to>
    <xdr:sp macro="" textlink="">
      <xdr:nvSpPr>
        <xdr:cNvPr id="8" name="Rectangle: Rounded Corners 7">
          <a:extLst>
            <a:ext uri="{FF2B5EF4-FFF2-40B4-BE49-F238E27FC236}">
              <a16:creationId xmlns:a16="http://schemas.microsoft.com/office/drawing/2014/main" id="{651A8577-2D2F-4191-A936-2DADB3C3B733}"/>
            </a:ext>
          </a:extLst>
        </xdr:cNvPr>
        <xdr:cNvSpPr/>
      </xdr:nvSpPr>
      <xdr:spPr>
        <a:xfrm>
          <a:off x="0" y="5099050"/>
          <a:ext cx="2293144" cy="1078819"/>
        </a:xfrm>
        <a:prstGeom prst="roundRect">
          <a:avLst/>
        </a:prstGeom>
        <a:solidFill>
          <a:srgbClr val="CFA7F7"/>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SY117:  Cancer - Paediatric</a:t>
          </a:r>
          <a:r>
            <a:rPr lang="en-GB" sz="1100" b="1" baseline="0">
              <a:solidFill>
                <a:schemeClr val="tx1"/>
              </a:solidFill>
            </a:rPr>
            <a:t> Radiotherapy</a:t>
          </a:r>
          <a:endParaRPr lang="en-GB" sz="1100" b="1">
            <a:solidFill>
              <a:schemeClr val="tx1"/>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100" b="1" baseline="0">
              <a:solidFill>
                <a:srgbClr val="FF0000"/>
              </a:solidFill>
              <a:effectLst/>
              <a:latin typeface="+mn-lt"/>
              <a:ea typeface="+mn-ea"/>
              <a:cs typeface="+mn-cs"/>
            </a:rPr>
            <a:t>Accountable</a:t>
          </a:r>
          <a:endParaRPr lang="en-GB" b="1">
            <a:solidFill>
              <a:srgbClr val="FF0000"/>
            </a:solidFill>
            <a:effectLst/>
          </a:endParaRPr>
        </a:p>
        <a:p>
          <a:pPr algn="ctr"/>
          <a:endParaRPr lang="en-GB" sz="1100" b="1">
            <a:solidFill>
              <a:srgbClr val="00B050"/>
            </a:solidFill>
          </a:endParaRPr>
        </a:p>
      </xdr:txBody>
    </xdr:sp>
    <xdr:clientData/>
  </xdr:twoCellAnchor>
  <xdr:twoCellAnchor>
    <xdr:from>
      <xdr:col>1</xdr:col>
      <xdr:colOff>190272</xdr:colOff>
      <xdr:row>30</xdr:row>
      <xdr:rowOff>34019</xdr:rowOff>
    </xdr:from>
    <xdr:to>
      <xdr:col>2</xdr:col>
      <xdr:colOff>172809</xdr:colOff>
      <xdr:row>31</xdr:row>
      <xdr:rowOff>70001</xdr:rowOff>
    </xdr:to>
    <xdr:sp macro="" textlink="">
      <xdr:nvSpPr>
        <xdr:cNvPr id="9" name="Rectangle 8">
          <a:extLst>
            <a:ext uri="{FF2B5EF4-FFF2-40B4-BE49-F238E27FC236}">
              <a16:creationId xmlns:a16="http://schemas.microsoft.com/office/drawing/2014/main" id="{105B70F6-4CDB-43E1-943E-1B8EAEE01318}"/>
            </a:ext>
          </a:extLst>
        </xdr:cNvPr>
        <xdr:cNvSpPr/>
      </xdr:nvSpPr>
      <xdr:spPr>
        <a:xfrm>
          <a:off x="799872" y="5869669"/>
          <a:ext cx="592137" cy="220132"/>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bg1"/>
              </a:solidFill>
            </a:rPr>
            <a:t>16</a:t>
          </a:r>
        </a:p>
      </xdr:txBody>
    </xdr:sp>
    <xdr:clientData/>
  </xdr:twoCellAnchor>
  <xdr:twoCellAnchor>
    <xdr:from>
      <xdr:col>0</xdr:col>
      <xdr:colOff>0</xdr:colOff>
      <xdr:row>33</xdr:row>
      <xdr:rowOff>0</xdr:rowOff>
    </xdr:from>
    <xdr:to>
      <xdr:col>3</xdr:col>
      <xdr:colOff>457994</xdr:colOff>
      <xdr:row>37</xdr:row>
      <xdr:rowOff>115888</xdr:rowOff>
    </xdr:to>
    <xdr:sp macro="" textlink="">
      <xdr:nvSpPr>
        <xdr:cNvPr id="10" name="Rectangle: Rounded Corners 9">
          <a:extLst>
            <a:ext uri="{FF2B5EF4-FFF2-40B4-BE49-F238E27FC236}">
              <a16:creationId xmlns:a16="http://schemas.microsoft.com/office/drawing/2014/main" id="{0A306DE2-536C-4DF2-B084-23CB20198D3A}"/>
            </a:ext>
          </a:extLst>
        </xdr:cNvPr>
        <xdr:cNvSpPr/>
      </xdr:nvSpPr>
      <xdr:spPr>
        <a:xfrm>
          <a:off x="0" y="6388100"/>
          <a:ext cx="2286794" cy="852488"/>
        </a:xfrm>
        <a:prstGeom prst="roundRect">
          <a:avLst/>
        </a:prstGeom>
        <a:solidFill>
          <a:srgbClr val="CFA7F7"/>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SY016:  Fraud - CHC/PBH</a:t>
          </a:r>
        </a:p>
        <a:p>
          <a:pPr algn="ctr"/>
          <a:r>
            <a:rPr lang="en-GB" sz="1100" b="1">
              <a:solidFill>
                <a:srgbClr val="00B050"/>
              </a:solidFill>
            </a:rPr>
            <a:t>Responsible</a:t>
          </a:r>
        </a:p>
      </xdr:txBody>
    </xdr:sp>
    <xdr:clientData/>
  </xdr:twoCellAnchor>
  <xdr:twoCellAnchor>
    <xdr:from>
      <xdr:col>1</xdr:col>
      <xdr:colOff>236616</xdr:colOff>
      <xdr:row>35</xdr:row>
      <xdr:rowOff>129456</xdr:rowOff>
    </xdr:from>
    <xdr:to>
      <xdr:col>2</xdr:col>
      <xdr:colOff>215978</xdr:colOff>
      <xdr:row>37</xdr:row>
      <xdr:rowOff>33299</xdr:rowOff>
    </xdr:to>
    <xdr:sp macro="" textlink="">
      <xdr:nvSpPr>
        <xdr:cNvPr id="11" name="Rectangle 10">
          <a:extLst>
            <a:ext uri="{FF2B5EF4-FFF2-40B4-BE49-F238E27FC236}">
              <a16:creationId xmlns:a16="http://schemas.microsoft.com/office/drawing/2014/main" id="{BA327BAD-AD6C-4E8D-A68C-3E7123B4F3C8}"/>
            </a:ext>
          </a:extLst>
        </xdr:cNvPr>
        <xdr:cNvSpPr/>
      </xdr:nvSpPr>
      <xdr:spPr>
        <a:xfrm>
          <a:off x="846216" y="6885856"/>
          <a:ext cx="588962" cy="27214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0</xdr:col>
      <xdr:colOff>0</xdr:colOff>
      <xdr:row>39</xdr:row>
      <xdr:rowOff>15876</xdr:rowOff>
    </xdr:from>
    <xdr:to>
      <xdr:col>3</xdr:col>
      <xdr:colOff>443440</xdr:colOff>
      <xdr:row>43</xdr:row>
      <xdr:rowOff>161436</xdr:rowOff>
    </xdr:to>
    <xdr:sp macro="" textlink="">
      <xdr:nvSpPr>
        <xdr:cNvPr id="12" name="Rectangle: Rounded Corners 11">
          <a:extLst>
            <a:ext uri="{FF2B5EF4-FFF2-40B4-BE49-F238E27FC236}">
              <a16:creationId xmlns:a16="http://schemas.microsoft.com/office/drawing/2014/main" id="{94E3FE78-F0D8-41BF-AA22-C9683CE40A2E}"/>
            </a:ext>
          </a:extLst>
        </xdr:cNvPr>
        <xdr:cNvSpPr/>
      </xdr:nvSpPr>
      <xdr:spPr>
        <a:xfrm>
          <a:off x="0" y="7508876"/>
          <a:ext cx="2272240" cy="882160"/>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SY061:</a:t>
          </a:r>
          <a:r>
            <a:rPr lang="en-GB" sz="1100" b="1" baseline="0">
              <a:solidFill>
                <a:schemeClr val="tx1"/>
              </a:solidFill>
            </a:rPr>
            <a:t>  Access to Primary Care</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1</xdr:col>
      <xdr:colOff>174811</xdr:colOff>
      <xdr:row>41</xdr:row>
      <xdr:rowOff>96650</xdr:rowOff>
    </xdr:from>
    <xdr:to>
      <xdr:col>2</xdr:col>
      <xdr:colOff>157349</xdr:colOff>
      <xdr:row>42</xdr:row>
      <xdr:rowOff>123940</xdr:rowOff>
    </xdr:to>
    <xdr:sp macro="" textlink="">
      <xdr:nvSpPr>
        <xdr:cNvPr id="13" name="Rectangle 12">
          <a:extLst>
            <a:ext uri="{FF2B5EF4-FFF2-40B4-BE49-F238E27FC236}">
              <a16:creationId xmlns:a16="http://schemas.microsoft.com/office/drawing/2014/main" id="{03BE368D-6E5F-4415-9627-718449E28B1E}"/>
            </a:ext>
          </a:extLst>
        </xdr:cNvPr>
        <xdr:cNvSpPr/>
      </xdr:nvSpPr>
      <xdr:spPr>
        <a:xfrm>
          <a:off x="784411" y="7957950"/>
          <a:ext cx="592138" cy="21144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0</xdr:col>
      <xdr:colOff>0</xdr:colOff>
      <xdr:row>45</xdr:row>
      <xdr:rowOff>0</xdr:rowOff>
    </xdr:from>
    <xdr:to>
      <xdr:col>3</xdr:col>
      <xdr:colOff>515937</xdr:colOff>
      <xdr:row>50</xdr:row>
      <xdr:rowOff>31750</xdr:rowOff>
    </xdr:to>
    <xdr:sp macro="" textlink="">
      <xdr:nvSpPr>
        <xdr:cNvPr id="14" name="Rectangle: Rounded Corners 13">
          <a:extLst>
            <a:ext uri="{FF2B5EF4-FFF2-40B4-BE49-F238E27FC236}">
              <a16:creationId xmlns:a16="http://schemas.microsoft.com/office/drawing/2014/main" id="{509C8B92-5A59-4AE1-8654-103FD0A9DB98}"/>
            </a:ext>
          </a:extLst>
        </xdr:cNvPr>
        <xdr:cNvSpPr/>
      </xdr:nvSpPr>
      <xdr:spPr>
        <a:xfrm>
          <a:off x="0" y="8597900"/>
          <a:ext cx="2344737" cy="952500"/>
        </a:xfrm>
        <a:prstGeom prst="roundRect">
          <a:avLst/>
        </a:prstGeom>
        <a:solidFill>
          <a:srgbClr val="CFA7F7"/>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SY112:  Fraud - Pharmacy</a:t>
          </a:r>
          <a:r>
            <a:rPr lang="en-GB" sz="1100" b="1" baseline="0">
              <a:solidFill>
                <a:schemeClr val="tx1"/>
              </a:solidFill>
            </a:rPr>
            <a:t> Dispensing</a:t>
          </a:r>
          <a:endParaRPr lang="en-GB" sz="1100" b="1">
            <a:solidFill>
              <a:schemeClr val="tx1"/>
            </a:solidFill>
          </a:endParaRPr>
        </a:p>
        <a:p>
          <a:pPr algn="ctr"/>
          <a:r>
            <a:rPr lang="en-GB" sz="1100" b="1">
              <a:solidFill>
                <a:srgbClr val="FF0000"/>
              </a:solidFill>
            </a:rPr>
            <a:t>Accountable</a:t>
          </a:r>
        </a:p>
      </xdr:txBody>
    </xdr:sp>
    <xdr:clientData/>
  </xdr:twoCellAnchor>
  <xdr:twoCellAnchor>
    <xdr:from>
      <xdr:col>1</xdr:col>
      <xdr:colOff>260429</xdr:colOff>
      <xdr:row>48</xdr:row>
      <xdr:rowOff>73894</xdr:rowOff>
    </xdr:from>
    <xdr:to>
      <xdr:col>2</xdr:col>
      <xdr:colOff>239791</xdr:colOff>
      <xdr:row>49</xdr:row>
      <xdr:rowOff>160299</xdr:rowOff>
    </xdr:to>
    <xdr:sp macro="" textlink="">
      <xdr:nvSpPr>
        <xdr:cNvPr id="15" name="Rectangle 14">
          <a:extLst>
            <a:ext uri="{FF2B5EF4-FFF2-40B4-BE49-F238E27FC236}">
              <a16:creationId xmlns:a16="http://schemas.microsoft.com/office/drawing/2014/main" id="{C3422821-13AB-4CF2-A94A-E3555514BE06}"/>
            </a:ext>
          </a:extLst>
        </xdr:cNvPr>
        <xdr:cNvSpPr/>
      </xdr:nvSpPr>
      <xdr:spPr>
        <a:xfrm>
          <a:off x="870029" y="9224244"/>
          <a:ext cx="588962" cy="270555"/>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0</xdr:col>
      <xdr:colOff>0</xdr:colOff>
      <xdr:row>53</xdr:row>
      <xdr:rowOff>0</xdr:rowOff>
    </xdr:from>
    <xdr:to>
      <xdr:col>3</xdr:col>
      <xdr:colOff>536574</xdr:colOff>
      <xdr:row>57</xdr:row>
      <xdr:rowOff>109987</xdr:rowOff>
    </xdr:to>
    <xdr:sp macro="" textlink="">
      <xdr:nvSpPr>
        <xdr:cNvPr id="16" name="Rectangle: Rounded Corners 15">
          <a:extLst>
            <a:ext uri="{FF2B5EF4-FFF2-40B4-BE49-F238E27FC236}">
              <a16:creationId xmlns:a16="http://schemas.microsoft.com/office/drawing/2014/main" id="{AE72B148-DE70-443B-9A6E-6F6225DB5C82}"/>
            </a:ext>
          </a:extLst>
        </xdr:cNvPr>
        <xdr:cNvSpPr/>
      </xdr:nvSpPr>
      <xdr:spPr>
        <a:xfrm>
          <a:off x="0" y="10071100"/>
          <a:ext cx="2365374" cy="846587"/>
        </a:xfrm>
        <a:prstGeom prst="roundRect">
          <a:avLst/>
        </a:prstGeom>
        <a:solidFill>
          <a:srgbClr val="CC990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SY019:</a:t>
          </a:r>
          <a:r>
            <a:rPr lang="en-GB" sz="1100" b="1" baseline="0">
              <a:solidFill>
                <a:schemeClr val="tx1"/>
              </a:solidFill>
            </a:rPr>
            <a:t>  Information Governance -Information Sharing</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1</xdr:col>
      <xdr:colOff>262957</xdr:colOff>
      <xdr:row>56</xdr:row>
      <xdr:rowOff>48495</xdr:rowOff>
    </xdr:from>
    <xdr:to>
      <xdr:col>2</xdr:col>
      <xdr:colOff>242319</xdr:colOff>
      <xdr:row>57</xdr:row>
      <xdr:rowOff>62363</xdr:rowOff>
    </xdr:to>
    <xdr:sp macro="" textlink="">
      <xdr:nvSpPr>
        <xdr:cNvPr id="17" name="Rectangle 16">
          <a:extLst>
            <a:ext uri="{FF2B5EF4-FFF2-40B4-BE49-F238E27FC236}">
              <a16:creationId xmlns:a16="http://schemas.microsoft.com/office/drawing/2014/main" id="{0FBA573D-0868-4C32-BA2A-DB42BAE4EB3E}"/>
            </a:ext>
          </a:extLst>
        </xdr:cNvPr>
        <xdr:cNvSpPr/>
      </xdr:nvSpPr>
      <xdr:spPr>
        <a:xfrm>
          <a:off x="872557" y="10672045"/>
          <a:ext cx="588962" cy="198018"/>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0</xdr:col>
      <xdr:colOff>0</xdr:colOff>
      <xdr:row>59</xdr:row>
      <xdr:rowOff>0</xdr:rowOff>
    </xdr:from>
    <xdr:to>
      <xdr:col>3</xdr:col>
      <xdr:colOff>525043</xdr:colOff>
      <xdr:row>64</xdr:row>
      <xdr:rowOff>18296</xdr:rowOff>
    </xdr:to>
    <xdr:sp macro="" textlink="">
      <xdr:nvSpPr>
        <xdr:cNvPr id="18" name="Rectangle: Rounded Corners 17">
          <a:extLst>
            <a:ext uri="{FF2B5EF4-FFF2-40B4-BE49-F238E27FC236}">
              <a16:creationId xmlns:a16="http://schemas.microsoft.com/office/drawing/2014/main" id="{5BF02BA9-8CD6-4866-BFA3-17E0E5620A11}"/>
            </a:ext>
          </a:extLst>
        </xdr:cNvPr>
        <xdr:cNvSpPr/>
      </xdr:nvSpPr>
      <xdr:spPr>
        <a:xfrm>
          <a:off x="0" y="11176000"/>
          <a:ext cx="2353843" cy="939046"/>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SY049:</a:t>
          </a:r>
          <a:r>
            <a:rPr lang="en-GB" sz="1100" b="1" baseline="0">
              <a:solidFill>
                <a:schemeClr val="tx1"/>
              </a:solidFill>
            </a:rPr>
            <a:t>  Compliance with Policies at Place</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1</xdr:col>
      <xdr:colOff>235966</xdr:colOff>
      <xdr:row>62</xdr:row>
      <xdr:rowOff>48346</xdr:rowOff>
    </xdr:from>
    <xdr:to>
      <xdr:col>2</xdr:col>
      <xdr:colOff>208978</xdr:colOff>
      <xdr:row>63</xdr:row>
      <xdr:rowOff>67396</xdr:rowOff>
    </xdr:to>
    <xdr:sp macro="" textlink="">
      <xdr:nvSpPr>
        <xdr:cNvPr id="19" name="Rectangle 18">
          <a:extLst>
            <a:ext uri="{FF2B5EF4-FFF2-40B4-BE49-F238E27FC236}">
              <a16:creationId xmlns:a16="http://schemas.microsoft.com/office/drawing/2014/main" id="{461ED660-AF9B-4F01-A21C-7D85B0B74072}"/>
            </a:ext>
          </a:extLst>
        </xdr:cNvPr>
        <xdr:cNvSpPr/>
      </xdr:nvSpPr>
      <xdr:spPr>
        <a:xfrm>
          <a:off x="845566" y="11776796"/>
          <a:ext cx="582612" cy="2032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0</xdr:col>
      <xdr:colOff>0</xdr:colOff>
      <xdr:row>65</xdr:row>
      <xdr:rowOff>39690</xdr:rowOff>
    </xdr:from>
    <xdr:to>
      <xdr:col>3</xdr:col>
      <xdr:colOff>539029</xdr:colOff>
      <xdr:row>70</xdr:row>
      <xdr:rowOff>23813</xdr:rowOff>
    </xdr:to>
    <xdr:sp macro="" textlink="">
      <xdr:nvSpPr>
        <xdr:cNvPr id="20" name="Rectangle: Rounded Corners 19">
          <a:extLst>
            <a:ext uri="{FF2B5EF4-FFF2-40B4-BE49-F238E27FC236}">
              <a16:creationId xmlns:a16="http://schemas.microsoft.com/office/drawing/2014/main" id="{3F6C6414-7878-4081-8BC2-00DDB1EB145A}"/>
            </a:ext>
          </a:extLst>
        </xdr:cNvPr>
        <xdr:cNvSpPr/>
      </xdr:nvSpPr>
      <xdr:spPr>
        <a:xfrm>
          <a:off x="0" y="12320590"/>
          <a:ext cx="2367829" cy="904873"/>
        </a:xfrm>
        <a:prstGeom prst="roundRect">
          <a:avLst/>
        </a:prstGeom>
        <a:solidFill>
          <a:srgbClr val="CC9900"/>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SY062:</a:t>
          </a:r>
          <a:r>
            <a:rPr lang="en-GB" sz="1100" b="1" baseline="0">
              <a:solidFill>
                <a:schemeClr val="tx1"/>
              </a:solidFill>
            </a:rPr>
            <a:t>  Information Governance - Personal Devices</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1</xdr:col>
      <xdr:colOff>215864</xdr:colOff>
      <xdr:row>68</xdr:row>
      <xdr:rowOff>115288</xdr:rowOff>
    </xdr:from>
    <xdr:to>
      <xdr:col>2</xdr:col>
      <xdr:colOff>226976</xdr:colOff>
      <xdr:row>69</xdr:row>
      <xdr:rowOff>143634</xdr:rowOff>
    </xdr:to>
    <xdr:sp macro="" textlink="">
      <xdr:nvSpPr>
        <xdr:cNvPr id="21" name="Rectangle 20">
          <a:extLst>
            <a:ext uri="{FF2B5EF4-FFF2-40B4-BE49-F238E27FC236}">
              <a16:creationId xmlns:a16="http://schemas.microsoft.com/office/drawing/2014/main" id="{D3CE3658-6BEA-44F5-A349-E3BFE67D232A}"/>
            </a:ext>
          </a:extLst>
        </xdr:cNvPr>
        <xdr:cNvSpPr/>
      </xdr:nvSpPr>
      <xdr:spPr>
        <a:xfrm>
          <a:off x="825464" y="12948638"/>
          <a:ext cx="620712" cy="21249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0</xdr:col>
      <xdr:colOff>0</xdr:colOff>
      <xdr:row>71</xdr:row>
      <xdr:rowOff>0</xdr:rowOff>
    </xdr:from>
    <xdr:to>
      <xdr:col>3</xdr:col>
      <xdr:colOff>545570</xdr:colOff>
      <xdr:row>75</xdr:row>
      <xdr:rowOff>166687</xdr:rowOff>
    </xdr:to>
    <xdr:sp macro="" textlink="">
      <xdr:nvSpPr>
        <xdr:cNvPr id="22" name="Rectangle: Rounded Corners 21">
          <a:extLst>
            <a:ext uri="{FF2B5EF4-FFF2-40B4-BE49-F238E27FC236}">
              <a16:creationId xmlns:a16="http://schemas.microsoft.com/office/drawing/2014/main" id="{E5ED7FE5-8419-4F7B-A878-584BDDE2C011}"/>
            </a:ext>
          </a:extLst>
        </xdr:cNvPr>
        <xdr:cNvSpPr/>
      </xdr:nvSpPr>
      <xdr:spPr>
        <a:xfrm>
          <a:off x="0" y="13385800"/>
          <a:ext cx="2374370" cy="903287"/>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SY078:</a:t>
          </a:r>
          <a:r>
            <a:rPr lang="en-GB" sz="1100" b="1" baseline="0">
              <a:solidFill>
                <a:schemeClr val="tx1"/>
              </a:solidFill>
            </a:rPr>
            <a:t> Information Governance Lack of Function</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1</xdr:col>
      <xdr:colOff>246518</xdr:colOff>
      <xdr:row>74</xdr:row>
      <xdr:rowOff>75748</xdr:rowOff>
    </xdr:from>
    <xdr:to>
      <xdr:col>2</xdr:col>
      <xdr:colOff>263980</xdr:colOff>
      <xdr:row>75</xdr:row>
      <xdr:rowOff>98199</xdr:rowOff>
    </xdr:to>
    <xdr:sp macro="" textlink="">
      <xdr:nvSpPr>
        <xdr:cNvPr id="23" name="Rectangle 22">
          <a:extLst>
            <a:ext uri="{FF2B5EF4-FFF2-40B4-BE49-F238E27FC236}">
              <a16:creationId xmlns:a16="http://schemas.microsoft.com/office/drawing/2014/main" id="{0912B969-B757-467A-A838-C0456EA2C674}"/>
            </a:ext>
          </a:extLst>
        </xdr:cNvPr>
        <xdr:cNvSpPr/>
      </xdr:nvSpPr>
      <xdr:spPr>
        <a:xfrm>
          <a:off x="856118" y="14013998"/>
          <a:ext cx="627062" cy="20660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0</xdr:col>
      <xdr:colOff>0</xdr:colOff>
      <xdr:row>77</xdr:row>
      <xdr:rowOff>47628</xdr:rowOff>
    </xdr:from>
    <xdr:to>
      <xdr:col>3</xdr:col>
      <xdr:colOff>514235</xdr:colOff>
      <xdr:row>82</xdr:row>
      <xdr:rowOff>20492</xdr:rowOff>
    </xdr:to>
    <xdr:sp macro="" textlink="">
      <xdr:nvSpPr>
        <xdr:cNvPr id="24" name="Rectangle: Rounded Corners 23">
          <a:extLst>
            <a:ext uri="{FF2B5EF4-FFF2-40B4-BE49-F238E27FC236}">
              <a16:creationId xmlns:a16="http://schemas.microsoft.com/office/drawing/2014/main" id="{AC886FD3-195F-4F87-B1EE-871E271755E7}"/>
            </a:ext>
          </a:extLst>
        </xdr:cNvPr>
        <xdr:cNvSpPr/>
      </xdr:nvSpPr>
      <xdr:spPr>
        <a:xfrm>
          <a:off x="0" y="14538328"/>
          <a:ext cx="2343035" cy="893614"/>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SY011:</a:t>
          </a:r>
          <a:r>
            <a:rPr lang="en-GB" sz="1100" b="1" baseline="0">
              <a:solidFill>
                <a:schemeClr val="tx1"/>
              </a:solidFill>
            </a:rPr>
            <a:t>  EPRR Arrangements</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1</xdr:col>
      <xdr:colOff>190878</xdr:colOff>
      <xdr:row>79</xdr:row>
      <xdr:rowOff>170280</xdr:rowOff>
    </xdr:from>
    <xdr:to>
      <xdr:col>2</xdr:col>
      <xdr:colOff>198815</xdr:colOff>
      <xdr:row>81</xdr:row>
      <xdr:rowOff>24911</xdr:rowOff>
    </xdr:to>
    <xdr:sp macro="" textlink="">
      <xdr:nvSpPr>
        <xdr:cNvPr id="25" name="Rectangle 24">
          <a:extLst>
            <a:ext uri="{FF2B5EF4-FFF2-40B4-BE49-F238E27FC236}">
              <a16:creationId xmlns:a16="http://schemas.microsoft.com/office/drawing/2014/main" id="{A8526388-14BE-4094-BC24-2B9D517340FC}"/>
            </a:ext>
          </a:extLst>
        </xdr:cNvPr>
        <xdr:cNvSpPr/>
      </xdr:nvSpPr>
      <xdr:spPr>
        <a:xfrm>
          <a:off x="800478" y="15029280"/>
          <a:ext cx="617537" cy="22293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4</a:t>
          </a:r>
        </a:p>
      </xdr:txBody>
    </xdr:sp>
    <xdr:clientData/>
  </xdr:twoCellAnchor>
  <xdr:twoCellAnchor>
    <xdr:from>
      <xdr:col>0</xdr:col>
      <xdr:colOff>0</xdr:colOff>
      <xdr:row>83</xdr:row>
      <xdr:rowOff>0</xdr:rowOff>
    </xdr:from>
    <xdr:to>
      <xdr:col>3</xdr:col>
      <xdr:colOff>558270</xdr:colOff>
      <xdr:row>88</xdr:row>
      <xdr:rowOff>0</xdr:rowOff>
    </xdr:to>
    <xdr:sp macro="" textlink="">
      <xdr:nvSpPr>
        <xdr:cNvPr id="26" name="Rectangle: Rounded Corners 25">
          <a:extLst>
            <a:ext uri="{FF2B5EF4-FFF2-40B4-BE49-F238E27FC236}">
              <a16:creationId xmlns:a16="http://schemas.microsoft.com/office/drawing/2014/main" id="{B680AC44-8CE5-42A9-B34F-5752F1571ACB}"/>
            </a:ext>
          </a:extLst>
        </xdr:cNvPr>
        <xdr:cNvSpPr/>
      </xdr:nvSpPr>
      <xdr:spPr>
        <a:xfrm>
          <a:off x="0" y="15595600"/>
          <a:ext cx="2387070" cy="920750"/>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SY017:</a:t>
          </a:r>
          <a:r>
            <a:rPr lang="en-GB" sz="1100" b="1" baseline="0">
              <a:solidFill>
                <a:schemeClr val="tx1"/>
              </a:solidFill>
            </a:rPr>
            <a:t>  Fire Regulations</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1</xdr:col>
      <xdr:colOff>202401</xdr:colOff>
      <xdr:row>86</xdr:row>
      <xdr:rowOff>12815</xdr:rowOff>
    </xdr:from>
    <xdr:to>
      <xdr:col>2</xdr:col>
      <xdr:colOff>210338</xdr:colOff>
      <xdr:row>87</xdr:row>
      <xdr:rowOff>117591</xdr:rowOff>
    </xdr:to>
    <xdr:sp macro="" textlink="">
      <xdr:nvSpPr>
        <xdr:cNvPr id="27" name="Rectangle 26">
          <a:extLst>
            <a:ext uri="{FF2B5EF4-FFF2-40B4-BE49-F238E27FC236}">
              <a16:creationId xmlns:a16="http://schemas.microsoft.com/office/drawing/2014/main" id="{5FFFC748-2E23-498C-B296-FBB0830DBB90}"/>
            </a:ext>
          </a:extLst>
        </xdr:cNvPr>
        <xdr:cNvSpPr/>
      </xdr:nvSpPr>
      <xdr:spPr>
        <a:xfrm>
          <a:off x="812001" y="16160865"/>
          <a:ext cx="617537" cy="288926"/>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3</a:t>
          </a:r>
        </a:p>
      </xdr:txBody>
    </xdr:sp>
    <xdr:clientData/>
  </xdr:twoCellAnchor>
  <xdr:twoCellAnchor>
    <xdr:from>
      <xdr:col>0</xdr:col>
      <xdr:colOff>0</xdr:colOff>
      <xdr:row>89</xdr:row>
      <xdr:rowOff>0</xdr:rowOff>
    </xdr:from>
    <xdr:to>
      <xdr:col>3</xdr:col>
      <xdr:colOff>539029</xdr:colOff>
      <xdr:row>93</xdr:row>
      <xdr:rowOff>166685</xdr:rowOff>
    </xdr:to>
    <xdr:sp macro="" textlink="">
      <xdr:nvSpPr>
        <xdr:cNvPr id="28" name="Rectangle: Rounded Corners 27">
          <a:extLst>
            <a:ext uri="{FF2B5EF4-FFF2-40B4-BE49-F238E27FC236}">
              <a16:creationId xmlns:a16="http://schemas.microsoft.com/office/drawing/2014/main" id="{13C419B8-B941-4995-B415-1ED489B3CE8C}"/>
            </a:ext>
          </a:extLst>
        </xdr:cNvPr>
        <xdr:cNvSpPr/>
      </xdr:nvSpPr>
      <xdr:spPr>
        <a:xfrm>
          <a:off x="0" y="16700500"/>
          <a:ext cx="2367829" cy="903285"/>
        </a:xfrm>
        <a:prstGeom prst="roundRect">
          <a:avLst/>
        </a:prstGeom>
        <a:solidFill>
          <a:srgbClr val="CC9900"/>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SY133:</a:t>
          </a:r>
          <a:r>
            <a:rPr lang="en-GB" sz="1100" b="1" baseline="0">
              <a:solidFill>
                <a:schemeClr val="tx1"/>
              </a:solidFill>
            </a:rPr>
            <a:t>  Information Governance - Primary Care Data</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1</xdr:col>
      <xdr:colOff>230187</xdr:colOff>
      <xdr:row>92</xdr:row>
      <xdr:rowOff>55562</xdr:rowOff>
    </xdr:from>
    <xdr:to>
      <xdr:col>2</xdr:col>
      <xdr:colOff>238124</xdr:colOff>
      <xdr:row>93</xdr:row>
      <xdr:rowOff>160339</xdr:rowOff>
    </xdr:to>
    <xdr:sp macro="" textlink="">
      <xdr:nvSpPr>
        <xdr:cNvPr id="29" name="Rectangle 28">
          <a:extLst>
            <a:ext uri="{FF2B5EF4-FFF2-40B4-BE49-F238E27FC236}">
              <a16:creationId xmlns:a16="http://schemas.microsoft.com/office/drawing/2014/main" id="{89456BCB-917E-4A54-A14B-F9916B21CF2B}"/>
            </a:ext>
          </a:extLst>
        </xdr:cNvPr>
        <xdr:cNvSpPr/>
      </xdr:nvSpPr>
      <xdr:spPr>
        <a:xfrm>
          <a:off x="839787" y="17308512"/>
          <a:ext cx="617537" cy="288927"/>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a:t>
          </a:r>
        </a:p>
      </xdr:txBody>
    </xdr:sp>
    <xdr:clientData/>
  </xdr:twoCellAnchor>
  <xdr:twoCellAnchor>
    <xdr:from>
      <xdr:col>5</xdr:col>
      <xdr:colOff>15875</xdr:colOff>
      <xdr:row>5</xdr:row>
      <xdr:rowOff>15875</xdr:rowOff>
    </xdr:from>
    <xdr:to>
      <xdr:col>8</xdr:col>
      <xdr:colOff>460375</xdr:colOff>
      <xdr:row>11</xdr:row>
      <xdr:rowOff>15876</xdr:rowOff>
    </xdr:to>
    <xdr:sp macro="" textlink="">
      <xdr:nvSpPr>
        <xdr:cNvPr id="30" name="Rectangle: Rounded Corners 29">
          <a:extLst>
            <a:ext uri="{FF2B5EF4-FFF2-40B4-BE49-F238E27FC236}">
              <a16:creationId xmlns:a16="http://schemas.microsoft.com/office/drawing/2014/main" id="{D54F423B-8C21-42C7-8492-4EB322494246}"/>
            </a:ext>
          </a:extLst>
        </xdr:cNvPr>
        <xdr:cNvSpPr/>
      </xdr:nvSpPr>
      <xdr:spPr>
        <a:xfrm>
          <a:off x="3063875" y="1247775"/>
          <a:ext cx="2273300" cy="1104901"/>
        </a:xfrm>
        <a:prstGeom prst="roundRect">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SY042:</a:t>
          </a:r>
          <a:r>
            <a:rPr lang="en-GB" sz="1100" b="1" baseline="0">
              <a:solidFill>
                <a:schemeClr val="tx1"/>
              </a:solidFill>
            </a:rPr>
            <a:t> Finance Service Delivery</a:t>
          </a:r>
        </a:p>
        <a:p>
          <a:pPr algn="ctr"/>
          <a:r>
            <a:rPr lang="en-GB" sz="1100" b="1" baseline="0">
              <a:solidFill>
                <a:srgbClr val="FF0000"/>
              </a:solidFill>
            </a:rPr>
            <a:t>Accountable</a:t>
          </a:r>
        </a:p>
        <a:p>
          <a:pPr algn="ctr"/>
          <a:endParaRPr lang="en-GB" sz="1100" b="1">
            <a:solidFill>
              <a:schemeClr val="tx1"/>
            </a:solidFill>
          </a:endParaRPr>
        </a:p>
      </xdr:txBody>
    </xdr:sp>
    <xdr:clientData/>
  </xdr:twoCellAnchor>
  <xdr:twoCellAnchor>
    <xdr:from>
      <xdr:col>6</xdr:col>
      <xdr:colOff>255588</xdr:colOff>
      <xdr:row>8</xdr:row>
      <xdr:rowOff>149225</xdr:rowOff>
    </xdr:from>
    <xdr:to>
      <xdr:col>7</xdr:col>
      <xdr:colOff>202595</xdr:colOff>
      <xdr:row>10</xdr:row>
      <xdr:rowOff>6313</xdr:rowOff>
    </xdr:to>
    <xdr:sp macro="" textlink="">
      <xdr:nvSpPr>
        <xdr:cNvPr id="31" name="Rectangle 30">
          <a:extLst>
            <a:ext uri="{FF2B5EF4-FFF2-40B4-BE49-F238E27FC236}">
              <a16:creationId xmlns:a16="http://schemas.microsoft.com/office/drawing/2014/main" id="{C0642ADC-C0AB-40B0-BDD0-9C742F0A0A0B}"/>
            </a:ext>
          </a:extLst>
        </xdr:cNvPr>
        <xdr:cNvSpPr/>
      </xdr:nvSpPr>
      <xdr:spPr>
        <a:xfrm>
          <a:off x="3913188" y="1933575"/>
          <a:ext cx="556607" cy="22538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20</a:t>
          </a:r>
        </a:p>
      </xdr:txBody>
    </xdr:sp>
    <xdr:clientData/>
  </xdr:twoCellAnchor>
  <xdr:twoCellAnchor>
    <xdr:from>
      <xdr:col>10</xdr:col>
      <xdr:colOff>55563</xdr:colOff>
      <xdr:row>5</xdr:row>
      <xdr:rowOff>23812</xdr:rowOff>
    </xdr:from>
    <xdr:to>
      <xdr:col>13</xdr:col>
      <xdr:colOff>500062</xdr:colOff>
      <xdr:row>11</xdr:row>
      <xdr:rowOff>54862</xdr:rowOff>
    </xdr:to>
    <xdr:sp macro="" textlink="">
      <xdr:nvSpPr>
        <xdr:cNvPr id="32" name="Rectangle: Rounded Corners 31">
          <a:extLst>
            <a:ext uri="{FF2B5EF4-FFF2-40B4-BE49-F238E27FC236}">
              <a16:creationId xmlns:a16="http://schemas.microsoft.com/office/drawing/2014/main" id="{306198AC-C560-4F72-833C-9C51930B0DB7}"/>
            </a:ext>
          </a:extLst>
        </xdr:cNvPr>
        <xdr:cNvSpPr/>
      </xdr:nvSpPr>
      <xdr:spPr>
        <a:xfrm>
          <a:off x="6151563" y="1255712"/>
          <a:ext cx="2273299" cy="1135950"/>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SY132:</a:t>
          </a:r>
          <a:r>
            <a:rPr lang="en-GB" sz="1100" b="1" baseline="0">
              <a:solidFill>
                <a:schemeClr val="tx1"/>
              </a:solidFill>
            </a:rPr>
            <a:t>  GP Action</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11</xdr:col>
      <xdr:colOff>262240</xdr:colOff>
      <xdr:row>8</xdr:row>
      <xdr:rowOff>164835</xdr:rowOff>
    </xdr:from>
    <xdr:to>
      <xdr:col>12</xdr:col>
      <xdr:colOff>147400</xdr:colOff>
      <xdr:row>10</xdr:row>
      <xdr:rowOff>47626</xdr:rowOff>
    </xdr:to>
    <xdr:sp macro="" textlink="">
      <xdr:nvSpPr>
        <xdr:cNvPr id="33" name="Rectangle 32">
          <a:extLst>
            <a:ext uri="{FF2B5EF4-FFF2-40B4-BE49-F238E27FC236}">
              <a16:creationId xmlns:a16="http://schemas.microsoft.com/office/drawing/2014/main" id="{9CF0BFF2-B306-487A-AE3E-DECECA6A6860}"/>
            </a:ext>
          </a:extLst>
        </xdr:cNvPr>
        <xdr:cNvSpPr/>
      </xdr:nvSpPr>
      <xdr:spPr>
        <a:xfrm>
          <a:off x="6967840" y="1949185"/>
          <a:ext cx="494760" cy="251091"/>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16</a:t>
          </a:r>
        </a:p>
      </xdr:txBody>
    </xdr:sp>
    <xdr:clientData/>
  </xdr:twoCellAnchor>
  <xdr:twoCellAnchor>
    <xdr:from>
      <xdr:col>15</xdr:col>
      <xdr:colOff>119063</xdr:colOff>
      <xdr:row>5</xdr:row>
      <xdr:rowOff>47624</xdr:rowOff>
    </xdr:from>
    <xdr:to>
      <xdr:col>18</xdr:col>
      <xdr:colOff>500063</xdr:colOff>
      <xdr:row>11</xdr:row>
      <xdr:rowOff>24643</xdr:rowOff>
    </xdr:to>
    <xdr:sp macro="" textlink="">
      <xdr:nvSpPr>
        <xdr:cNvPr id="34" name="Rectangle: Rounded Corners 33">
          <a:extLst>
            <a:ext uri="{FF2B5EF4-FFF2-40B4-BE49-F238E27FC236}">
              <a16:creationId xmlns:a16="http://schemas.microsoft.com/office/drawing/2014/main" id="{4DD203B3-04C6-41C5-9DCD-7F465813445B}"/>
            </a:ext>
          </a:extLst>
        </xdr:cNvPr>
        <xdr:cNvSpPr/>
      </xdr:nvSpPr>
      <xdr:spPr>
        <a:xfrm>
          <a:off x="9263063" y="1279524"/>
          <a:ext cx="2209800" cy="1081919"/>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SY091:  Corporate ICB Capacity</a:t>
          </a:r>
          <a:endParaRPr lang="en-GB" sz="1100" b="1" baseline="0">
            <a:solidFill>
              <a:schemeClr val="tx1"/>
            </a:solidFill>
          </a:endParaRP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16</xdr:col>
      <xdr:colOff>331784</xdr:colOff>
      <xdr:row>8</xdr:row>
      <xdr:rowOff>165323</xdr:rowOff>
    </xdr:from>
    <xdr:to>
      <xdr:col>17</xdr:col>
      <xdr:colOff>218948</xdr:colOff>
      <xdr:row>9</xdr:row>
      <xdr:rowOff>173376</xdr:rowOff>
    </xdr:to>
    <xdr:sp macro="" textlink="">
      <xdr:nvSpPr>
        <xdr:cNvPr id="35" name="Rectangle 34">
          <a:extLst>
            <a:ext uri="{FF2B5EF4-FFF2-40B4-BE49-F238E27FC236}">
              <a16:creationId xmlns:a16="http://schemas.microsoft.com/office/drawing/2014/main" id="{144F0BCB-4807-4CCC-92CB-DD9E37E95619}"/>
            </a:ext>
          </a:extLst>
        </xdr:cNvPr>
        <xdr:cNvSpPr/>
      </xdr:nvSpPr>
      <xdr:spPr>
        <a:xfrm>
          <a:off x="10085384" y="1949673"/>
          <a:ext cx="496764" cy="19220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20</xdr:col>
      <xdr:colOff>31749</xdr:colOff>
      <xdr:row>5</xdr:row>
      <xdr:rowOff>95249</xdr:rowOff>
    </xdr:from>
    <xdr:to>
      <xdr:col>23</xdr:col>
      <xdr:colOff>420687</xdr:colOff>
      <xdr:row>11</xdr:row>
      <xdr:rowOff>63500</xdr:rowOff>
    </xdr:to>
    <xdr:sp macro="" textlink="">
      <xdr:nvSpPr>
        <xdr:cNvPr id="36" name="Rectangle: Rounded Corners 35">
          <a:extLst>
            <a:ext uri="{FF2B5EF4-FFF2-40B4-BE49-F238E27FC236}">
              <a16:creationId xmlns:a16="http://schemas.microsoft.com/office/drawing/2014/main" id="{9F898873-2DFA-4617-9AF4-ACF79FB95F40}"/>
            </a:ext>
          </a:extLst>
        </xdr:cNvPr>
        <xdr:cNvSpPr/>
      </xdr:nvSpPr>
      <xdr:spPr>
        <a:xfrm>
          <a:off x="12223749" y="1327149"/>
          <a:ext cx="2217738" cy="1073151"/>
        </a:xfrm>
        <a:prstGeom prst="roundRect">
          <a:avLst/>
        </a:prstGeom>
        <a:solidFill>
          <a:schemeClr val="accent1">
            <a:lumMod val="40000"/>
            <a:lumOff val="60000"/>
          </a:schemeClr>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SY131:</a:t>
          </a:r>
          <a:r>
            <a:rPr lang="en-GB" sz="1100" b="1" baseline="0">
              <a:solidFill>
                <a:schemeClr val="tx1"/>
              </a:solidFill>
            </a:rPr>
            <a:t> Infection Control</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21</xdr:col>
      <xdr:colOff>309561</xdr:colOff>
      <xdr:row>8</xdr:row>
      <xdr:rowOff>129646</xdr:rowOff>
    </xdr:from>
    <xdr:to>
      <xdr:col>22</xdr:col>
      <xdr:colOff>168332</xdr:colOff>
      <xdr:row>10</xdr:row>
      <xdr:rowOff>45555</xdr:rowOff>
    </xdr:to>
    <xdr:sp macro="" textlink="">
      <xdr:nvSpPr>
        <xdr:cNvPr id="37" name="Rectangle 36">
          <a:extLst>
            <a:ext uri="{FF2B5EF4-FFF2-40B4-BE49-F238E27FC236}">
              <a16:creationId xmlns:a16="http://schemas.microsoft.com/office/drawing/2014/main" id="{C8CE6D18-ED37-4332-BE9B-46B382C38522}"/>
            </a:ext>
          </a:extLst>
        </xdr:cNvPr>
        <xdr:cNvSpPr/>
      </xdr:nvSpPr>
      <xdr:spPr>
        <a:xfrm>
          <a:off x="13111161" y="1913996"/>
          <a:ext cx="468371" cy="284209"/>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15</a:t>
          </a:r>
        </a:p>
      </xdr:txBody>
    </xdr:sp>
    <xdr:clientData/>
  </xdr:twoCellAnchor>
  <xdr:twoCellAnchor>
    <xdr:from>
      <xdr:col>20</xdr:col>
      <xdr:colOff>0</xdr:colOff>
      <xdr:row>12</xdr:row>
      <xdr:rowOff>0</xdr:rowOff>
    </xdr:from>
    <xdr:to>
      <xdr:col>23</xdr:col>
      <xdr:colOff>373063</xdr:colOff>
      <xdr:row>17</xdr:row>
      <xdr:rowOff>150813</xdr:rowOff>
    </xdr:to>
    <xdr:sp macro="" textlink="">
      <xdr:nvSpPr>
        <xdr:cNvPr id="38" name="Rectangle: Rounded Corners 37">
          <a:extLst>
            <a:ext uri="{FF2B5EF4-FFF2-40B4-BE49-F238E27FC236}">
              <a16:creationId xmlns:a16="http://schemas.microsoft.com/office/drawing/2014/main" id="{2B8EAAF6-2530-48B5-A288-C7552830F1F1}"/>
            </a:ext>
          </a:extLst>
        </xdr:cNvPr>
        <xdr:cNvSpPr/>
      </xdr:nvSpPr>
      <xdr:spPr>
        <a:xfrm>
          <a:off x="12192000" y="2520950"/>
          <a:ext cx="2201863" cy="1071563"/>
        </a:xfrm>
        <a:prstGeom prst="roundRect">
          <a:avLst/>
        </a:prstGeom>
        <a:solidFill>
          <a:schemeClr val="accent2">
            <a:lumMod val="40000"/>
            <a:lumOff val="60000"/>
          </a:schemeClr>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n-GB" sz="1100" b="1">
              <a:latin typeface="+mn-lt"/>
            </a:rPr>
            <a:t>SY128: Paediatric Hearing</a:t>
          </a:r>
          <a:r>
            <a:rPr lang="en-GB" sz="1100" b="1" baseline="0">
              <a:latin typeface="+mn-lt"/>
            </a:rPr>
            <a:t> Services</a:t>
          </a:r>
        </a:p>
        <a:p>
          <a:pPr marL="0" marR="0" lvl="0" indent="0" algn="ctr" defTabSz="914400" eaLnBrk="1" fontAlgn="auto" latinLnBrk="0" hangingPunct="1">
            <a:lnSpc>
              <a:spcPct val="100000"/>
            </a:lnSpc>
            <a:spcBef>
              <a:spcPts val="0"/>
            </a:spcBef>
            <a:spcAft>
              <a:spcPts val="0"/>
            </a:spcAft>
            <a:buClrTx/>
            <a:buSzTx/>
            <a:buFontTx/>
            <a:buNone/>
            <a:tabLst/>
            <a:defRPr/>
          </a:pPr>
          <a:r>
            <a:rPr lang="en-GB" sz="1100" b="1" baseline="0">
              <a:solidFill>
                <a:srgbClr val="FF0000"/>
              </a:solidFill>
              <a:effectLst/>
              <a:latin typeface="+mn-lt"/>
              <a:ea typeface="+mn-ea"/>
              <a:cs typeface="+mn-cs"/>
            </a:rPr>
            <a:t>Accountable</a:t>
          </a:r>
          <a:endParaRPr lang="en-GB" sz="1100">
            <a:solidFill>
              <a:srgbClr val="FF0000"/>
            </a:solidFill>
            <a:effectLst/>
            <a:latin typeface="+mn-lt"/>
          </a:endParaRPr>
        </a:p>
        <a:p>
          <a:pPr algn="ctr"/>
          <a:endParaRPr lang="en-GB" sz="900" b="1"/>
        </a:p>
      </xdr:txBody>
    </xdr:sp>
    <xdr:clientData/>
  </xdr:twoCellAnchor>
  <xdr:twoCellAnchor>
    <xdr:from>
      <xdr:col>21</xdr:col>
      <xdr:colOff>239709</xdr:colOff>
      <xdr:row>15</xdr:row>
      <xdr:rowOff>89122</xdr:rowOff>
    </xdr:from>
    <xdr:to>
      <xdr:col>22</xdr:col>
      <xdr:colOff>126874</xdr:colOff>
      <xdr:row>16</xdr:row>
      <xdr:rowOff>164566</xdr:rowOff>
    </xdr:to>
    <xdr:sp macro="" textlink="">
      <xdr:nvSpPr>
        <xdr:cNvPr id="39" name="Rectangle 38">
          <a:extLst>
            <a:ext uri="{FF2B5EF4-FFF2-40B4-BE49-F238E27FC236}">
              <a16:creationId xmlns:a16="http://schemas.microsoft.com/office/drawing/2014/main" id="{DF3E8917-56F6-4F74-9888-336F82655EBE}"/>
            </a:ext>
          </a:extLst>
        </xdr:cNvPr>
        <xdr:cNvSpPr/>
      </xdr:nvSpPr>
      <xdr:spPr>
        <a:xfrm>
          <a:off x="13041309" y="3162522"/>
          <a:ext cx="496765" cy="259594"/>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20</xdr:col>
      <xdr:colOff>1</xdr:colOff>
      <xdr:row>18</xdr:row>
      <xdr:rowOff>119063</xdr:rowOff>
    </xdr:from>
    <xdr:to>
      <xdr:col>23</xdr:col>
      <xdr:colOff>396875</xdr:colOff>
      <xdr:row>24</xdr:row>
      <xdr:rowOff>111125</xdr:rowOff>
    </xdr:to>
    <xdr:sp macro="" textlink="">
      <xdr:nvSpPr>
        <xdr:cNvPr id="40" name="Rectangle: Rounded Corners 39">
          <a:extLst>
            <a:ext uri="{FF2B5EF4-FFF2-40B4-BE49-F238E27FC236}">
              <a16:creationId xmlns:a16="http://schemas.microsoft.com/office/drawing/2014/main" id="{BB9C0689-0FC8-4371-B9A4-B04BB518C7DE}"/>
            </a:ext>
          </a:extLst>
        </xdr:cNvPr>
        <xdr:cNvSpPr/>
      </xdr:nvSpPr>
      <xdr:spPr>
        <a:xfrm>
          <a:off x="12192001" y="3744913"/>
          <a:ext cx="2225674" cy="1096962"/>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SY124: National Trajectory for Learning Disability and Autism Inpatients</a:t>
          </a:r>
        </a:p>
        <a:p>
          <a:pPr algn="ctr"/>
          <a:r>
            <a:rPr lang="en-GB" sz="1100" b="1">
              <a:solidFill>
                <a:srgbClr val="00B050"/>
              </a:solidFill>
            </a:rPr>
            <a:t>Responsible</a:t>
          </a:r>
        </a:p>
      </xdr:txBody>
    </xdr:sp>
    <xdr:clientData/>
  </xdr:twoCellAnchor>
  <xdr:twoCellAnchor>
    <xdr:from>
      <xdr:col>21</xdr:col>
      <xdr:colOff>233359</xdr:colOff>
      <xdr:row>22</xdr:row>
      <xdr:rowOff>178023</xdr:rowOff>
    </xdr:from>
    <xdr:to>
      <xdr:col>22</xdr:col>
      <xdr:colOff>120524</xdr:colOff>
      <xdr:row>24</xdr:row>
      <xdr:rowOff>70904</xdr:rowOff>
    </xdr:to>
    <xdr:sp macro="" textlink="">
      <xdr:nvSpPr>
        <xdr:cNvPr id="41" name="Rectangle 40">
          <a:extLst>
            <a:ext uri="{FF2B5EF4-FFF2-40B4-BE49-F238E27FC236}">
              <a16:creationId xmlns:a16="http://schemas.microsoft.com/office/drawing/2014/main" id="{53097367-E413-4229-A687-C3EB03F7C535}"/>
            </a:ext>
          </a:extLst>
        </xdr:cNvPr>
        <xdr:cNvSpPr/>
      </xdr:nvSpPr>
      <xdr:spPr>
        <a:xfrm>
          <a:off x="13034959" y="4540473"/>
          <a:ext cx="496765" cy="261181"/>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19</xdr:col>
      <xdr:colOff>555626</xdr:colOff>
      <xdr:row>25</xdr:row>
      <xdr:rowOff>47624</xdr:rowOff>
    </xdr:from>
    <xdr:to>
      <xdr:col>23</xdr:col>
      <xdr:colOff>412750</xdr:colOff>
      <xdr:row>31</xdr:row>
      <xdr:rowOff>7936</xdr:rowOff>
    </xdr:to>
    <xdr:sp macro="" textlink="">
      <xdr:nvSpPr>
        <xdr:cNvPr id="42" name="Rectangle: Rounded Corners 41">
          <a:extLst>
            <a:ext uri="{FF2B5EF4-FFF2-40B4-BE49-F238E27FC236}">
              <a16:creationId xmlns:a16="http://schemas.microsoft.com/office/drawing/2014/main" id="{C50C6162-4E21-4237-881B-9B57AC3B63E1}"/>
            </a:ext>
          </a:extLst>
        </xdr:cNvPr>
        <xdr:cNvSpPr/>
      </xdr:nvSpPr>
      <xdr:spPr>
        <a:xfrm>
          <a:off x="12138026" y="4962524"/>
          <a:ext cx="2295524" cy="1065212"/>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SY021: LeDeR</a:t>
          </a:r>
        </a:p>
        <a:p>
          <a:pPr algn="ctr"/>
          <a:r>
            <a:rPr lang="en-GB" sz="1100" b="1">
              <a:solidFill>
                <a:srgbClr val="00B050"/>
              </a:solidFill>
            </a:rPr>
            <a:t>Responsible</a:t>
          </a:r>
        </a:p>
      </xdr:txBody>
    </xdr:sp>
    <xdr:clientData/>
  </xdr:twoCellAnchor>
  <xdr:twoCellAnchor>
    <xdr:from>
      <xdr:col>21</xdr:col>
      <xdr:colOff>216734</xdr:colOff>
      <xdr:row>28</xdr:row>
      <xdr:rowOff>41356</xdr:rowOff>
    </xdr:from>
    <xdr:to>
      <xdr:col>22</xdr:col>
      <xdr:colOff>144703</xdr:colOff>
      <xdr:row>29</xdr:row>
      <xdr:rowOff>143478</xdr:rowOff>
    </xdr:to>
    <xdr:sp macro="" textlink="">
      <xdr:nvSpPr>
        <xdr:cNvPr id="43" name="Rectangle 42">
          <a:extLst>
            <a:ext uri="{FF2B5EF4-FFF2-40B4-BE49-F238E27FC236}">
              <a16:creationId xmlns:a16="http://schemas.microsoft.com/office/drawing/2014/main" id="{4E527E49-F942-4090-B669-8C4BAC8F04FC}"/>
            </a:ext>
          </a:extLst>
        </xdr:cNvPr>
        <xdr:cNvSpPr/>
      </xdr:nvSpPr>
      <xdr:spPr>
        <a:xfrm>
          <a:off x="13018334" y="5508706"/>
          <a:ext cx="537569" cy="286272"/>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20</xdr:col>
      <xdr:colOff>0</xdr:colOff>
      <xdr:row>32</xdr:row>
      <xdr:rowOff>0</xdr:rowOff>
    </xdr:from>
    <xdr:to>
      <xdr:col>23</xdr:col>
      <xdr:colOff>388937</xdr:colOff>
      <xdr:row>36</xdr:row>
      <xdr:rowOff>151718</xdr:rowOff>
    </xdr:to>
    <xdr:sp macro="" textlink="">
      <xdr:nvSpPr>
        <xdr:cNvPr id="44" name="Rectangle: Rounded Corners 43">
          <a:extLst>
            <a:ext uri="{FF2B5EF4-FFF2-40B4-BE49-F238E27FC236}">
              <a16:creationId xmlns:a16="http://schemas.microsoft.com/office/drawing/2014/main" id="{ECA38E0E-A758-4CE2-8DC8-0B2A888952FD}"/>
            </a:ext>
          </a:extLst>
        </xdr:cNvPr>
        <xdr:cNvSpPr/>
      </xdr:nvSpPr>
      <xdr:spPr>
        <a:xfrm>
          <a:off x="12192000" y="6203950"/>
          <a:ext cx="2217737" cy="888318"/>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SY0113:</a:t>
          </a:r>
          <a:r>
            <a:rPr lang="en-GB" sz="1100" b="1" baseline="0">
              <a:solidFill>
                <a:schemeClr val="tx1"/>
              </a:solidFill>
            </a:rPr>
            <a:t>  Waiting Times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206374</xdr:colOff>
      <xdr:row>34</xdr:row>
      <xdr:rowOff>134938</xdr:rowOff>
    </xdr:from>
    <xdr:to>
      <xdr:col>22</xdr:col>
      <xdr:colOff>134343</xdr:colOff>
      <xdr:row>36</xdr:row>
      <xdr:rowOff>54498</xdr:rowOff>
    </xdr:to>
    <xdr:sp macro="" textlink="">
      <xdr:nvSpPr>
        <xdr:cNvPr id="45" name="Rectangle 44">
          <a:extLst>
            <a:ext uri="{FF2B5EF4-FFF2-40B4-BE49-F238E27FC236}">
              <a16:creationId xmlns:a16="http://schemas.microsoft.com/office/drawing/2014/main" id="{4056DD29-D5AA-4C94-9388-19A0BC975013}"/>
            </a:ext>
          </a:extLst>
        </xdr:cNvPr>
        <xdr:cNvSpPr/>
      </xdr:nvSpPr>
      <xdr:spPr>
        <a:xfrm>
          <a:off x="13007974" y="6707188"/>
          <a:ext cx="537569"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19</xdr:col>
      <xdr:colOff>563563</xdr:colOff>
      <xdr:row>37</xdr:row>
      <xdr:rowOff>142875</xdr:rowOff>
    </xdr:from>
    <xdr:to>
      <xdr:col>23</xdr:col>
      <xdr:colOff>436563</xdr:colOff>
      <xdr:row>41</xdr:row>
      <xdr:rowOff>182185</xdr:rowOff>
    </xdr:to>
    <xdr:sp macro="" textlink="">
      <xdr:nvSpPr>
        <xdr:cNvPr id="46" name="Rectangle: Rounded Corners 45">
          <a:extLst>
            <a:ext uri="{FF2B5EF4-FFF2-40B4-BE49-F238E27FC236}">
              <a16:creationId xmlns:a16="http://schemas.microsoft.com/office/drawing/2014/main" id="{50F01637-3207-4334-8A7A-4C960A0238C5}"/>
            </a:ext>
          </a:extLst>
        </xdr:cNvPr>
        <xdr:cNvSpPr/>
      </xdr:nvSpPr>
      <xdr:spPr>
        <a:xfrm>
          <a:off x="12145963" y="7267575"/>
          <a:ext cx="2311400" cy="775910"/>
        </a:xfrm>
        <a:prstGeom prst="roundRect">
          <a:avLst/>
        </a:prstGeom>
        <a:solidFill>
          <a:srgbClr val="ABFB5B"/>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SY0123:</a:t>
          </a:r>
          <a:r>
            <a:rPr lang="en-GB" sz="1100" b="1" baseline="0">
              <a:solidFill>
                <a:schemeClr val="tx1"/>
              </a:solidFill>
            </a:rPr>
            <a:t> Complaints Capacity</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21</xdr:col>
      <xdr:colOff>206375</xdr:colOff>
      <xdr:row>40</xdr:row>
      <xdr:rowOff>31751</xdr:rowOff>
    </xdr:from>
    <xdr:to>
      <xdr:col>22</xdr:col>
      <xdr:colOff>134344</xdr:colOff>
      <xdr:row>41</xdr:row>
      <xdr:rowOff>133873</xdr:rowOff>
    </xdr:to>
    <xdr:sp macro="" textlink="">
      <xdr:nvSpPr>
        <xdr:cNvPr id="47" name="Rectangle 46">
          <a:extLst>
            <a:ext uri="{FF2B5EF4-FFF2-40B4-BE49-F238E27FC236}">
              <a16:creationId xmlns:a16="http://schemas.microsoft.com/office/drawing/2014/main" id="{03EB898C-C37B-491D-94F4-C5F4A572AEE4}"/>
            </a:ext>
          </a:extLst>
        </xdr:cNvPr>
        <xdr:cNvSpPr/>
      </xdr:nvSpPr>
      <xdr:spPr>
        <a:xfrm>
          <a:off x="13007975" y="7708901"/>
          <a:ext cx="537569" cy="286272"/>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20</xdr:col>
      <xdr:colOff>0</xdr:colOff>
      <xdr:row>43</xdr:row>
      <xdr:rowOff>0</xdr:rowOff>
    </xdr:from>
    <xdr:to>
      <xdr:col>23</xdr:col>
      <xdr:colOff>476250</xdr:colOff>
      <xdr:row>47</xdr:row>
      <xdr:rowOff>32923</xdr:rowOff>
    </xdr:to>
    <xdr:sp macro="" textlink="">
      <xdr:nvSpPr>
        <xdr:cNvPr id="48" name="Rectangle: Rounded Corners 47">
          <a:extLst>
            <a:ext uri="{FF2B5EF4-FFF2-40B4-BE49-F238E27FC236}">
              <a16:creationId xmlns:a16="http://schemas.microsoft.com/office/drawing/2014/main" id="{B2B360FB-F8C8-4570-BC69-2854CDB0FC59}"/>
            </a:ext>
          </a:extLst>
        </xdr:cNvPr>
        <xdr:cNvSpPr/>
      </xdr:nvSpPr>
      <xdr:spPr>
        <a:xfrm>
          <a:off x="12192000" y="8229600"/>
          <a:ext cx="2305050" cy="769523"/>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SY040:</a:t>
          </a:r>
          <a:r>
            <a:rPr lang="en-GB" sz="1100" b="1" baseline="0">
              <a:solidFill>
                <a:schemeClr val="tx1"/>
              </a:solidFill>
            </a:rPr>
            <a:t>   CAMHS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247423</xdr:colOff>
      <xdr:row>45</xdr:row>
      <xdr:rowOff>100764</xdr:rowOff>
    </xdr:from>
    <xdr:to>
      <xdr:col>22</xdr:col>
      <xdr:colOff>148147</xdr:colOff>
      <xdr:row>46</xdr:row>
      <xdr:rowOff>121932</xdr:rowOff>
    </xdr:to>
    <xdr:sp macro="" textlink="">
      <xdr:nvSpPr>
        <xdr:cNvPr id="49" name="Rectangle 48">
          <a:extLst>
            <a:ext uri="{FF2B5EF4-FFF2-40B4-BE49-F238E27FC236}">
              <a16:creationId xmlns:a16="http://schemas.microsoft.com/office/drawing/2014/main" id="{7E079EC1-BBB3-4801-A3E7-4FFFEB3360F8}"/>
            </a:ext>
          </a:extLst>
        </xdr:cNvPr>
        <xdr:cNvSpPr/>
      </xdr:nvSpPr>
      <xdr:spPr>
        <a:xfrm>
          <a:off x="13049023" y="8698664"/>
          <a:ext cx="510324" cy="205318"/>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19</xdr:col>
      <xdr:colOff>595312</xdr:colOff>
      <xdr:row>47</xdr:row>
      <xdr:rowOff>174625</xdr:rowOff>
    </xdr:from>
    <xdr:to>
      <xdr:col>23</xdr:col>
      <xdr:colOff>484187</xdr:colOff>
      <xdr:row>52</xdr:row>
      <xdr:rowOff>157278</xdr:rowOff>
    </xdr:to>
    <xdr:sp macro="" textlink="">
      <xdr:nvSpPr>
        <xdr:cNvPr id="50" name="Rectangle: Rounded Corners 49">
          <a:extLst>
            <a:ext uri="{FF2B5EF4-FFF2-40B4-BE49-F238E27FC236}">
              <a16:creationId xmlns:a16="http://schemas.microsoft.com/office/drawing/2014/main" id="{F8A3EB2C-04F2-42D0-9F8F-240AB52F12CF}"/>
            </a:ext>
          </a:extLst>
        </xdr:cNvPr>
        <xdr:cNvSpPr/>
      </xdr:nvSpPr>
      <xdr:spPr>
        <a:xfrm>
          <a:off x="12177712" y="9140825"/>
          <a:ext cx="2327275" cy="903403"/>
        </a:xfrm>
        <a:prstGeom prst="roundRect">
          <a:avLst/>
        </a:prstGeom>
        <a:solidFill>
          <a:schemeClr val="accent5">
            <a:lumMod val="40000"/>
            <a:lumOff val="60000"/>
          </a:schemeClr>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SY108:</a:t>
          </a:r>
          <a:r>
            <a:rPr lang="en-GB" sz="1100" b="1" baseline="0">
              <a:solidFill>
                <a:schemeClr val="tx1"/>
              </a:solidFill>
            </a:rPr>
            <a:t>   Infection Prevention Control</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258156</xdr:colOff>
      <xdr:row>51</xdr:row>
      <xdr:rowOff>45358</xdr:rowOff>
    </xdr:from>
    <xdr:to>
      <xdr:col>22</xdr:col>
      <xdr:colOff>166143</xdr:colOff>
      <xdr:row>52</xdr:row>
      <xdr:rowOff>134938</xdr:rowOff>
    </xdr:to>
    <xdr:sp macro="" textlink="">
      <xdr:nvSpPr>
        <xdr:cNvPr id="51" name="Rectangle 50">
          <a:extLst>
            <a:ext uri="{FF2B5EF4-FFF2-40B4-BE49-F238E27FC236}">
              <a16:creationId xmlns:a16="http://schemas.microsoft.com/office/drawing/2014/main" id="{875B6A53-2F16-4BBE-A016-2AA577D7DFBF}"/>
            </a:ext>
          </a:extLst>
        </xdr:cNvPr>
        <xdr:cNvSpPr/>
      </xdr:nvSpPr>
      <xdr:spPr>
        <a:xfrm>
          <a:off x="13059756" y="9748158"/>
          <a:ext cx="517587" cy="27373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19</xdr:col>
      <xdr:colOff>579437</xdr:colOff>
      <xdr:row>53</xdr:row>
      <xdr:rowOff>111125</xdr:rowOff>
    </xdr:from>
    <xdr:to>
      <xdr:col>23</xdr:col>
      <xdr:colOff>523875</xdr:colOff>
      <xdr:row>58</xdr:row>
      <xdr:rowOff>111126</xdr:rowOff>
    </xdr:to>
    <xdr:sp macro="" textlink="">
      <xdr:nvSpPr>
        <xdr:cNvPr id="52" name="Rectangle: Rounded Corners 51">
          <a:extLst>
            <a:ext uri="{FF2B5EF4-FFF2-40B4-BE49-F238E27FC236}">
              <a16:creationId xmlns:a16="http://schemas.microsoft.com/office/drawing/2014/main" id="{22F3E698-D6F9-4108-AACF-22E13682AAB0}"/>
            </a:ext>
          </a:extLst>
        </xdr:cNvPr>
        <xdr:cNvSpPr/>
      </xdr:nvSpPr>
      <xdr:spPr>
        <a:xfrm>
          <a:off x="12161837" y="10182225"/>
          <a:ext cx="2382838" cy="920751"/>
        </a:xfrm>
        <a:prstGeom prst="roundRect">
          <a:avLst/>
        </a:prstGeom>
        <a:solidFill>
          <a:schemeClr val="accent5">
            <a:lumMod val="40000"/>
            <a:lumOff val="6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SY082:</a:t>
          </a:r>
          <a:r>
            <a:rPr lang="en-GB" sz="1100" b="1" baseline="0">
              <a:solidFill>
                <a:schemeClr val="tx1"/>
              </a:solidFill>
            </a:rPr>
            <a:t>  Adult Mental Health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277812</xdr:colOff>
      <xdr:row>56</xdr:row>
      <xdr:rowOff>127000</xdr:rowOff>
    </xdr:from>
    <xdr:to>
      <xdr:col>22</xdr:col>
      <xdr:colOff>185799</xdr:colOff>
      <xdr:row>58</xdr:row>
      <xdr:rowOff>34017</xdr:rowOff>
    </xdr:to>
    <xdr:sp macro="" textlink="">
      <xdr:nvSpPr>
        <xdr:cNvPr id="53" name="Rectangle 52">
          <a:extLst>
            <a:ext uri="{FF2B5EF4-FFF2-40B4-BE49-F238E27FC236}">
              <a16:creationId xmlns:a16="http://schemas.microsoft.com/office/drawing/2014/main" id="{9D4218A4-DA17-4935-9A3A-E830517E9A33}"/>
            </a:ext>
          </a:extLst>
        </xdr:cNvPr>
        <xdr:cNvSpPr/>
      </xdr:nvSpPr>
      <xdr:spPr>
        <a:xfrm>
          <a:off x="13079412" y="10750550"/>
          <a:ext cx="517587" cy="275317"/>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19</xdr:col>
      <xdr:colOff>563562</xdr:colOff>
      <xdr:row>59</xdr:row>
      <xdr:rowOff>87312</xdr:rowOff>
    </xdr:from>
    <xdr:to>
      <xdr:col>23</xdr:col>
      <xdr:colOff>579437</xdr:colOff>
      <xdr:row>63</xdr:row>
      <xdr:rowOff>163060</xdr:rowOff>
    </xdr:to>
    <xdr:sp macro="" textlink="">
      <xdr:nvSpPr>
        <xdr:cNvPr id="54" name="Rectangle: Rounded Corners 53">
          <a:extLst>
            <a:ext uri="{FF2B5EF4-FFF2-40B4-BE49-F238E27FC236}">
              <a16:creationId xmlns:a16="http://schemas.microsoft.com/office/drawing/2014/main" id="{2AEADD55-B5E8-4398-A1FB-716752DB103B}"/>
            </a:ext>
          </a:extLst>
        </xdr:cNvPr>
        <xdr:cNvSpPr/>
      </xdr:nvSpPr>
      <xdr:spPr>
        <a:xfrm>
          <a:off x="12145962" y="11263312"/>
          <a:ext cx="2454275" cy="812348"/>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SY044:</a:t>
          </a:r>
          <a:r>
            <a:rPr lang="en-GB" sz="1100" b="1" baseline="0">
              <a:solidFill>
                <a:schemeClr val="tx1"/>
              </a:solidFill>
            </a:rPr>
            <a:t>  Tackling Health Inequalities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353443</xdr:colOff>
      <xdr:row>62</xdr:row>
      <xdr:rowOff>9185</xdr:rowOff>
    </xdr:from>
    <xdr:to>
      <xdr:col>22</xdr:col>
      <xdr:colOff>287311</xdr:colOff>
      <xdr:row>63</xdr:row>
      <xdr:rowOff>36397</xdr:rowOff>
    </xdr:to>
    <xdr:sp macro="" textlink="">
      <xdr:nvSpPr>
        <xdr:cNvPr id="55" name="Rectangle 54">
          <a:extLst>
            <a:ext uri="{FF2B5EF4-FFF2-40B4-BE49-F238E27FC236}">
              <a16:creationId xmlns:a16="http://schemas.microsoft.com/office/drawing/2014/main" id="{391831BC-950B-49F9-9D02-C8DE436E8A0E}"/>
            </a:ext>
          </a:extLst>
        </xdr:cNvPr>
        <xdr:cNvSpPr/>
      </xdr:nvSpPr>
      <xdr:spPr>
        <a:xfrm>
          <a:off x="13155043" y="11737635"/>
          <a:ext cx="543468" cy="211362"/>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20</xdr:col>
      <xdr:colOff>1</xdr:colOff>
      <xdr:row>65</xdr:row>
      <xdr:rowOff>63502</xdr:rowOff>
    </xdr:from>
    <xdr:to>
      <xdr:col>23</xdr:col>
      <xdr:colOff>587376</xdr:colOff>
      <xdr:row>70</xdr:row>
      <xdr:rowOff>94497</xdr:rowOff>
    </xdr:to>
    <xdr:sp macro="" textlink="">
      <xdr:nvSpPr>
        <xdr:cNvPr id="56" name="Rectangle: Rounded Corners 55">
          <a:extLst>
            <a:ext uri="{FF2B5EF4-FFF2-40B4-BE49-F238E27FC236}">
              <a16:creationId xmlns:a16="http://schemas.microsoft.com/office/drawing/2014/main" id="{5DAAFD98-6082-40AE-B1B5-934D37FF64ED}"/>
            </a:ext>
          </a:extLst>
        </xdr:cNvPr>
        <xdr:cNvSpPr/>
      </xdr:nvSpPr>
      <xdr:spPr>
        <a:xfrm>
          <a:off x="12192001" y="12344402"/>
          <a:ext cx="2416175" cy="951745"/>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SY066:</a:t>
          </a:r>
          <a:r>
            <a:rPr lang="en-GB" sz="1100" b="1" baseline="0">
              <a:solidFill>
                <a:schemeClr val="tx1"/>
              </a:solidFill>
            </a:rPr>
            <a:t>  Delayed Discharge from Hospital both Acute and MH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455764</xdr:colOff>
      <xdr:row>68</xdr:row>
      <xdr:rowOff>165440</xdr:rowOff>
    </xdr:from>
    <xdr:to>
      <xdr:col>22</xdr:col>
      <xdr:colOff>376650</xdr:colOff>
      <xdr:row>70</xdr:row>
      <xdr:rowOff>59453</xdr:rowOff>
    </xdr:to>
    <xdr:sp macro="" textlink="">
      <xdr:nvSpPr>
        <xdr:cNvPr id="57" name="Rectangle 56">
          <a:extLst>
            <a:ext uri="{FF2B5EF4-FFF2-40B4-BE49-F238E27FC236}">
              <a16:creationId xmlns:a16="http://schemas.microsoft.com/office/drawing/2014/main" id="{366DF430-8A20-4F62-96C6-7BA4FC30787F}"/>
            </a:ext>
          </a:extLst>
        </xdr:cNvPr>
        <xdr:cNvSpPr/>
      </xdr:nvSpPr>
      <xdr:spPr>
        <a:xfrm>
          <a:off x="13257364" y="12998790"/>
          <a:ext cx="530486" cy="26231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20</xdr:col>
      <xdr:colOff>0</xdr:colOff>
      <xdr:row>71</xdr:row>
      <xdr:rowOff>63502</xdr:rowOff>
    </xdr:from>
    <xdr:to>
      <xdr:col>24</xdr:col>
      <xdr:colOff>19423</xdr:colOff>
      <xdr:row>76</xdr:row>
      <xdr:rowOff>30658</xdr:rowOff>
    </xdr:to>
    <xdr:sp macro="" textlink="">
      <xdr:nvSpPr>
        <xdr:cNvPr id="58" name="Rectangle: Rounded Corners 57">
          <a:extLst>
            <a:ext uri="{FF2B5EF4-FFF2-40B4-BE49-F238E27FC236}">
              <a16:creationId xmlns:a16="http://schemas.microsoft.com/office/drawing/2014/main" id="{AF10B6BF-05A2-40AD-B730-2F00441D8928}"/>
            </a:ext>
          </a:extLst>
        </xdr:cNvPr>
        <xdr:cNvSpPr/>
      </xdr:nvSpPr>
      <xdr:spPr>
        <a:xfrm>
          <a:off x="12192000" y="13449302"/>
          <a:ext cx="2457823" cy="887906"/>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SY069:</a:t>
          </a:r>
          <a:r>
            <a:rPr lang="en-GB" sz="1100" b="1" baseline="0">
              <a:solidFill>
                <a:schemeClr val="tx1"/>
              </a:solidFill>
            </a:rPr>
            <a:t>  Primary Care Delegation</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476553</xdr:colOff>
      <xdr:row>73</xdr:row>
      <xdr:rowOff>172774</xdr:rowOff>
    </xdr:from>
    <xdr:to>
      <xdr:col>22</xdr:col>
      <xdr:colOff>400168</xdr:colOff>
      <xdr:row>75</xdr:row>
      <xdr:rowOff>82405</xdr:rowOff>
    </xdr:to>
    <xdr:sp macro="" textlink="">
      <xdr:nvSpPr>
        <xdr:cNvPr id="59" name="Rectangle 58">
          <a:extLst>
            <a:ext uri="{FF2B5EF4-FFF2-40B4-BE49-F238E27FC236}">
              <a16:creationId xmlns:a16="http://schemas.microsoft.com/office/drawing/2014/main" id="{0EB41712-8BB2-4083-9B81-0DB1AACABA4E}"/>
            </a:ext>
          </a:extLst>
        </xdr:cNvPr>
        <xdr:cNvSpPr/>
      </xdr:nvSpPr>
      <xdr:spPr>
        <a:xfrm>
          <a:off x="13278153" y="13926874"/>
          <a:ext cx="533215" cy="277931"/>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20</xdr:col>
      <xdr:colOff>0</xdr:colOff>
      <xdr:row>79</xdr:row>
      <xdr:rowOff>0</xdr:rowOff>
    </xdr:from>
    <xdr:to>
      <xdr:col>24</xdr:col>
      <xdr:colOff>71438</xdr:colOff>
      <xdr:row>83</xdr:row>
      <xdr:rowOff>119062</xdr:rowOff>
    </xdr:to>
    <xdr:sp macro="" textlink="">
      <xdr:nvSpPr>
        <xdr:cNvPr id="60" name="Rectangle: Rounded Corners 59">
          <a:extLst>
            <a:ext uri="{FF2B5EF4-FFF2-40B4-BE49-F238E27FC236}">
              <a16:creationId xmlns:a16="http://schemas.microsoft.com/office/drawing/2014/main" id="{2EDCDC4D-9D4D-49DD-8507-5551759411FD}"/>
            </a:ext>
          </a:extLst>
        </xdr:cNvPr>
        <xdr:cNvSpPr/>
      </xdr:nvSpPr>
      <xdr:spPr>
        <a:xfrm>
          <a:off x="12192000" y="14859000"/>
          <a:ext cx="2509838" cy="855662"/>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SY079:</a:t>
          </a:r>
          <a:r>
            <a:rPr lang="en-GB" sz="1100" b="1" baseline="0">
              <a:solidFill>
                <a:schemeClr val="tx1"/>
              </a:solidFill>
            </a:rPr>
            <a:t>  Primary Care Partnership working</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343768</xdr:colOff>
      <xdr:row>82</xdr:row>
      <xdr:rowOff>47401</xdr:rowOff>
    </xdr:from>
    <xdr:to>
      <xdr:col>22</xdr:col>
      <xdr:colOff>266774</xdr:colOff>
      <xdr:row>83</xdr:row>
      <xdr:rowOff>78206</xdr:rowOff>
    </xdr:to>
    <xdr:sp macro="" textlink="">
      <xdr:nvSpPr>
        <xdr:cNvPr id="61" name="Rectangle 60">
          <a:extLst>
            <a:ext uri="{FF2B5EF4-FFF2-40B4-BE49-F238E27FC236}">
              <a16:creationId xmlns:a16="http://schemas.microsoft.com/office/drawing/2014/main" id="{62BF3CB9-84D7-4A0D-95FE-7BD4DDF41B7E}"/>
            </a:ext>
          </a:extLst>
        </xdr:cNvPr>
        <xdr:cNvSpPr/>
      </xdr:nvSpPr>
      <xdr:spPr>
        <a:xfrm>
          <a:off x="13145368" y="15458851"/>
          <a:ext cx="532606" cy="21495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20</xdr:col>
      <xdr:colOff>0</xdr:colOff>
      <xdr:row>85</xdr:row>
      <xdr:rowOff>0</xdr:rowOff>
    </xdr:from>
    <xdr:to>
      <xdr:col>24</xdr:col>
      <xdr:colOff>87313</xdr:colOff>
      <xdr:row>89</xdr:row>
      <xdr:rowOff>116300</xdr:rowOff>
    </xdr:to>
    <xdr:sp macro="" textlink="">
      <xdr:nvSpPr>
        <xdr:cNvPr id="62" name="Rectangle: Rounded Corners 61">
          <a:extLst>
            <a:ext uri="{FF2B5EF4-FFF2-40B4-BE49-F238E27FC236}">
              <a16:creationId xmlns:a16="http://schemas.microsoft.com/office/drawing/2014/main" id="{38652828-77DB-4EB2-BEAE-3BF6EB097B21}"/>
            </a:ext>
          </a:extLst>
        </xdr:cNvPr>
        <xdr:cNvSpPr/>
      </xdr:nvSpPr>
      <xdr:spPr>
        <a:xfrm>
          <a:off x="12192000" y="15963900"/>
          <a:ext cx="2525713" cy="852900"/>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SY0106:</a:t>
          </a:r>
          <a:r>
            <a:rPr lang="en-GB" sz="1100" b="1" baseline="0">
              <a:solidFill>
                <a:schemeClr val="tx1"/>
              </a:solidFill>
            </a:rPr>
            <a:t>  Trauma Resilience Service</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21</xdr:col>
      <xdr:colOff>384022</xdr:colOff>
      <xdr:row>87</xdr:row>
      <xdr:rowOff>133419</xdr:rowOff>
    </xdr:from>
    <xdr:to>
      <xdr:col>22</xdr:col>
      <xdr:colOff>315596</xdr:colOff>
      <xdr:row>88</xdr:row>
      <xdr:rowOff>149185</xdr:rowOff>
    </xdr:to>
    <xdr:sp macro="" textlink="">
      <xdr:nvSpPr>
        <xdr:cNvPr id="63" name="Rectangle 62">
          <a:extLst>
            <a:ext uri="{FF2B5EF4-FFF2-40B4-BE49-F238E27FC236}">
              <a16:creationId xmlns:a16="http://schemas.microsoft.com/office/drawing/2014/main" id="{60A8C256-7991-403E-9152-F929AA067246}"/>
            </a:ext>
          </a:extLst>
        </xdr:cNvPr>
        <xdr:cNvSpPr/>
      </xdr:nvSpPr>
      <xdr:spPr>
        <a:xfrm>
          <a:off x="13185622" y="16465619"/>
          <a:ext cx="541174" cy="19991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4</a:t>
          </a:r>
        </a:p>
      </xdr:txBody>
    </xdr:sp>
    <xdr:clientData/>
  </xdr:twoCellAnchor>
  <xdr:twoCellAnchor>
    <xdr:from>
      <xdr:col>10</xdr:col>
      <xdr:colOff>0</xdr:colOff>
      <xdr:row>12</xdr:row>
      <xdr:rowOff>0</xdr:rowOff>
    </xdr:from>
    <xdr:to>
      <xdr:col>13</xdr:col>
      <xdr:colOff>468125</xdr:colOff>
      <xdr:row>17</xdr:row>
      <xdr:rowOff>9415</xdr:rowOff>
    </xdr:to>
    <xdr:sp macro="" textlink="">
      <xdr:nvSpPr>
        <xdr:cNvPr id="64" name="Rectangle: Rounded Corners 63">
          <a:extLst>
            <a:ext uri="{FF2B5EF4-FFF2-40B4-BE49-F238E27FC236}">
              <a16:creationId xmlns:a16="http://schemas.microsoft.com/office/drawing/2014/main" id="{4835FAB0-A86D-4F6D-A925-17152552A424}"/>
            </a:ext>
          </a:extLst>
        </xdr:cNvPr>
        <xdr:cNvSpPr/>
      </xdr:nvSpPr>
      <xdr:spPr>
        <a:xfrm>
          <a:off x="6096000" y="2520950"/>
          <a:ext cx="2296925" cy="930165"/>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SY0107:</a:t>
          </a:r>
          <a:r>
            <a:rPr lang="en-GB" sz="1100" b="1" baseline="0">
              <a:solidFill>
                <a:schemeClr val="tx1"/>
              </a:solidFill>
            </a:rPr>
            <a:t>  Community Paediatrics/Childrens Pathways</a:t>
          </a:r>
        </a:p>
        <a:p>
          <a:pPr algn="ctr"/>
          <a:r>
            <a:rPr lang="en-GB" sz="1100" b="1">
              <a:solidFill>
                <a:srgbClr val="00B050"/>
              </a:solidFill>
              <a:effectLst/>
              <a:latin typeface="+mn-lt"/>
              <a:ea typeface="+mn-ea"/>
              <a:cs typeface="+mn-cs"/>
            </a:rPr>
            <a:t>Responsible</a:t>
          </a:r>
          <a:endParaRPr lang="en-GB">
            <a:solidFill>
              <a:srgbClr val="00B050"/>
            </a:solidFill>
            <a:effectLst/>
          </a:endParaRPr>
        </a:p>
      </xdr:txBody>
    </xdr:sp>
    <xdr:clientData/>
  </xdr:twoCellAnchor>
  <xdr:twoCellAnchor>
    <xdr:from>
      <xdr:col>11</xdr:col>
      <xdr:colOff>222251</xdr:colOff>
      <xdr:row>15</xdr:row>
      <xdr:rowOff>109991</xdr:rowOff>
    </xdr:from>
    <xdr:to>
      <xdr:col>12</xdr:col>
      <xdr:colOff>228600</xdr:colOff>
      <xdr:row>16</xdr:row>
      <xdr:rowOff>154212</xdr:rowOff>
    </xdr:to>
    <xdr:sp macro="" textlink="">
      <xdr:nvSpPr>
        <xdr:cNvPr id="65" name="Rectangle 64">
          <a:extLst>
            <a:ext uri="{FF2B5EF4-FFF2-40B4-BE49-F238E27FC236}">
              <a16:creationId xmlns:a16="http://schemas.microsoft.com/office/drawing/2014/main" id="{C96BAE91-69E1-4F24-9F8F-D9A91D897CEA}"/>
            </a:ext>
          </a:extLst>
        </xdr:cNvPr>
        <xdr:cNvSpPr/>
      </xdr:nvSpPr>
      <xdr:spPr>
        <a:xfrm>
          <a:off x="6927851" y="3183391"/>
          <a:ext cx="615949" cy="228371"/>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26</xdr:col>
      <xdr:colOff>0</xdr:colOff>
      <xdr:row>5</xdr:row>
      <xdr:rowOff>0</xdr:rowOff>
    </xdr:from>
    <xdr:to>
      <xdr:col>29</xdr:col>
      <xdr:colOff>444499</xdr:colOff>
      <xdr:row>11</xdr:row>
      <xdr:rowOff>1</xdr:rowOff>
    </xdr:to>
    <xdr:sp macro="" textlink="">
      <xdr:nvSpPr>
        <xdr:cNvPr id="66" name="Rectangle: Rounded Corners 65">
          <a:extLst>
            <a:ext uri="{FF2B5EF4-FFF2-40B4-BE49-F238E27FC236}">
              <a16:creationId xmlns:a16="http://schemas.microsoft.com/office/drawing/2014/main" id="{17A4E9A1-C271-403D-8848-6C10B562E159}"/>
            </a:ext>
          </a:extLst>
        </xdr:cNvPr>
        <xdr:cNvSpPr/>
      </xdr:nvSpPr>
      <xdr:spPr>
        <a:xfrm>
          <a:off x="15849600" y="1231900"/>
          <a:ext cx="2273299" cy="1104901"/>
        </a:xfrm>
        <a:prstGeom prst="roundRect">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SY042:</a:t>
          </a:r>
          <a:r>
            <a:rPr lang="en-GB" sz="1100" b="1" baseline="0">
              <a:solidFill>
                <a:schemeClr val="tx1"/>
              </a:solidFill>
            </a:rPr>
            <a:t> Finance Service Delivery</a:t>
          </a:r>
        </a:p>
        <a:p>
          <a:pPr algn="ctr"/>
          <a:r>
            <a:rPr lang="en-GB" sz="1100" b="1" baseline="0">
              <a:solidFill>
                <a:srgbClr val="FF0000"/>
              </a:solidFill>
            </a:rPr>
            <a:t>Accountable</a:t>
          </a:r>
        </a:p>
        <a:p>
          <a:pPr algn="ctr"/>
          <a:endParaRPr lang="en-GB" sz="1100" b="1">
            <a:solidFill>
              <a:schemeClr val="tx1"/>
            </a:solidFill>
          </a:endParaRPr>
        </a:p>
      </xdr:txBody>
    </xdr:sp>
    <xdr:clientData/>
  </xdr:twoCellAnchor>
  <xdr:twoCellAnchor>
    <xdr:from>
      <xdr:col>27</xdr:col>
      <xdr:colOff>239712</xdr:colOff>
      <xdr:row>8</xdr:row>
      <xdr:rowOff>133350</xdr:rowOff>
    </xdr:from>
    <xdr:to>
      <xdr:col>28</xdr:col>
      <xdr:colOff>186720</xdr:colOff>
      <xdr:row>9</xdr:row>
      <xdr:rowOff>173000</xdr:rowOff>
    </xdr:to>
    <xdr:sp macro="" textlink="">
      <xdr:nvSpPr>
        <xdr:cNvPr id="67" name="Rectangle 66">
          <a:extLst>
            <a:ext uri="{FF2B5EF4-FFF2-40B4-BE49-F238E27FC236}">
              <a16:creationId xmlns:a16="http://schemas.microsoft.com/office/drawing/2014/main" id="{616E3FE2-981A-414A-8756-563D09D3C11D}"/>
            </a:ext>
          </a:extLst>
        </xdr:cNvPr>
        <xdr:cNvSpPr/>
      </xdr:nvSpPr>
      <xdr:spPr>
        <a:xfrm>
          <a:off x="16698912" y="1917700"/>
          <a:ext cx="556608" cy="2238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16</a:t>
          </a:r>
        </a:p>
      </xdr:txBody>
    </xdr:sp>
    <xdr:clientData/>
  </xdr:twoCellAnchor>
  <xdr:twoCellAnchor>
    <xdr:from>
      <xdr:col>31</xdr:col>
      <xdr:colOff>73024</xdr:colOff>
      <xdr:row>5</xdr:row>
      <xdr:rowOff>33338</xdr:rowOff>
    </xdr:from>
    <xdr:to>
      <xdr:col>34</xdr:col>
      <xdr:colOff>517524</xdr:colOff>
      <xdr:row>11</xdr:row>
      <xdr:rowOff>33339</xdr:rowOff>
    </xdr:to>
    <xdr:sp macro="" textlink="">
      <xdr:nvSpPr>
        <xdr:cNvPr id="68" name="Rectangle: Rounded Corners 67">
          <a:extLst>
            <a:ext uri="{FF2B5EF4-FFF2-40B4-BE49-F238E27FC236}">
              <a16:creationId xmlns:a16="http://schemas.microsoft.com/office/drawing/2014/main" id="{33045FB9-B1B3-4F45-9ED0-18F5AB15E92D}"/>
            </a:ext>
          </a:extLst>
        </xdr:cNvPr>
        <xdr:cNvSpPr/>
      </xdr:nvSpPr>
      <xdr:spPr>
        <a:xfrm>
          <a:off x="18970624" y="1265238"/>
          <a:ext cx="2273300" cy="1104901"/>
        </a:xfrm>
        <a:prstGeom prst="roundRect">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SY042:</a:t>
          </a:r>
          <a:r>
            <a:rPr lang="en-GB" sz="1100" b="1" baseline="0">
              <a:solidFill>
                <a:schemeClr val="tx1"/>
              </a:solidFill>
            </a:rPr>
            <a:t> Finance Service Delivery</a:t>
          </a:r>
        </a:p>
        <a:p>
          <a:pPr algn="ctr"/>
          <a:r>
            <a:rPr lang="en-GB" sz="1100" b="1" baseline="0">
              <a:solidFill>
                <a:srgbClr val="FF0000"/>
              </a:solidFill>
            </a:rPr>
            <a:t>Accountable</a:t>
          </a:r>
        </a:p>
        <a:p>
          <a:pPr algn="ctr"/>
          <a:endParaRPr lang="en-GB" sz="1100" b="1">
            <a:solidFill>
              <a:schemeClr val="tx1"/>
            </a:solidFill>
          </a:endParaRPr>
        </a:p>
      </xdr:txBody>
    </xdr:sp>
    <xdr:clientData/>
  </xdr:twoCellAnchor>
  <xdr:twoCellAnchor>
    <xdr:from>
      <xdr:col>32</xdr:col>
      <xdr:colOff>312737</xdr:colOff>
      <xdr:row>8</xdr:row>
      <xdr:rowOff>166688</xdr:rowOff>
    </xdr:from>
    <xdr:to>
      <xdr:col>33</xdr:col>
      <xdr:colOff>259744</xdr:colOff>
      <xdr:row>10</xdr:row>
      <xdr:rowOff>23776</xdr:rowOff>
    </xdr:to>
    <xdr:sp macro="" textlink="">
      <xdr:nvSpPr>
        <xdr:cNvPr id="69" name="Rectangle 68">
          <a:extLst>
            <a:ext uri="{FF2B5EF4-FFF2-40B4-BE49-F238E27FC236}">
              <a16:creationId xmlns:a16="http://schemas.microsoft.com/office/drawing/2014/main" id="{FCFDD952-D34E-4EAA-B081-220C8207741C}"/>
            </a:ext>
          </a:extLst>
        </xdr:cNvPr>
        <xdr:cNvSpPr/>
      </xdr:nvSpPr>
      <xdr:spPr>
        <a:xfrm>
          <a:off x="19819937" y="1951038"/>
          <a:ext cx="556607" cy="22538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16</a:t>
          </a:r>
        </a:p>
      </xdr:txBody>
    </xdr:sp>
    <xdr:clientData/>
  </xdr:twoCellAnchor>
  <xdr:twoCellAnchor>
    <xdr:from>
      <xdr:col>36</xdr:col>
      <xdr:colOff>90487</xdr:colOff>
      <xdr:row>5</xdr:row>
      <xdr:rowOff>19051</xdr:rowOff>
    </xdr:from>
    <xdr:to>
      <xdr:col>39</xdr:col>
      <xdr:colOff>534986</xdr:colOff>
      <xdr:row>11</xdr:row>
      <xdr:rowOff>19052</xdr:rowOff>
    </xdr:to>
    <xdr:sp macro="" textlink="">
      <xdr:nvSpPr>
        <xdr:cNvPr id="70" name="Rectangle: Rounded Corners 69">
          <a:extLst>
            <a:ext uri="{FF2B5EF4-FFF2-40B4-BE49-F238E27FC236}">
              <a16:creationId xmlns:a16="http://schemas.microsoft.com/office/drawing/2014/main" id="{D69096E3-495C-4F8E-8C03-010B602C6CC6}"/>
            </a:ext>
          </a:extLst>
        </xdr:cNvPr>
        <xdr:cNvSpPr/>
      </xdr:nvSpPr>
      <xdr:spPr>
        <a:xfrm>
          <a:off x="22036087" y="1250951"/>
          <a:ext cx="2273299" cy="1104901"/>
        </a:xfrm>
        <a:prstGeom prst="roundRect">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SY042:</a:t>
          </a:r>
          <a:r>
            <a:rPr lang="en-GB" sz="1100" b="1" baseline="0">
              <a:solidFill>
                <a:schemeClr val="tx1"/>
              </a:solidFill>
            </a:rPr>
            <a:t> Finance Service Delivery</a:t>
          </a:r>
        </a:p>
        <a:p>
          <a:pPr algn="ctr"/>
          <a:r>
            <a:rPr lang="en-GB" sz="1100" b="1" baseline="0">
              <a:solidFill>
                <a:srgbClr val="FF0000"/>
              </a:solidFill>
            </a:rPr>
            <a:t>Accountable</a:t>
          </a:r>
        </a:p>
        <a:p>
          <a:pPr algn="ctr"/>
          <a:endParaRPr lang="en-GB" sz="1100" b="1">
            <a:solidFill>
              <a:schemeClr val="tx1"/>
            </a:solidFill>
          </a:endParaRPr>
        </a:p>
      </xdr:txBody>
    </xdr:sp>
    <xdr:clientData/>
  </xdr:twoCellAnchor>
  <xdr:twoCellAnchor>
    <xdr:from>
      <xdr:col>37</xdr:col>
      <xdr:colOff>330199</xdr:colOff>
      <xdr:row>8</xdr:row>
      <xdr:rowOff>152401</xdr:rowOff>
    </xdr:from>
    <xdr:to>
      <xdr:col>38</xdr:col>
      <xdr:colOff>277207</xdr:colOff>
      <xdr:row>10</xdr:row>
      <xdr:rowOff>9489</xdr:rowOff>
    </xdr:to>
    <xdr:sp macro="" textlink="">
      <xdr:nvSpPr>
        <xdr:cNvPr id="71" name="Rectangle 70">
          <a:extLst>
            <a:ext uri="{FF2B5EF4-FFF2-40B4-BE49-F238E27FC236}">
              <a16:creationId xmlns:a16="http://schemas.microsoft.com/office/drawing/2014/main" id="{EA2891AD-0EB6-4A23-968C-685F8FE656E4}"/>
            </a:ext>
          </a:extLst>
        </xdr:cNvPr>
        <xdr:cNvSpPr/>
      </xdr:nvSpPr>
      <xdr:spPr>
        <a:xfrm>
          <a:off x="22885399" y="1936751"/>
          <a:ext cx="556608" cy="22538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16</a:t>
          </a:r>
        </a:p>
      </xdr:txBody>
    </xdr:sp>
    <xdr:clientData/>
  </xdr:twoCellAnchor>
  <xdr:twoCellAnchor>
    <xdr:from>
      <xdr:col>41</xdr:col>
      <xdr:colOff>47625</xdr:colOff>
      <xdr:row>5</xdr:row>
      <xdr:rowOff>15875</xdr:rowOff>
    </xdr:from>
    <xdr:to>
      <xdr:col>44</xdr:col>
      <xdr:colOff>492125</xdr:colOff>
      <xdr:row>11</xdr:row>
      <xdr:rowOff>15876</xdr:rowOff>
    </xdr:to>
    <xdr:sp macro="" textlink="">
      <xdr:nvSpPr>
        <xdr:cNvPr id="72" name="Rectangle: Rounded Corners 71">
          <a:extLst>
            <a:ext uri="{FF2B5EF4-FFF2-40B4-BE49-F238E27FC236}">
              <a16:creationId xmlns:a16="http://schemas.microsoft.com/office/drawing/2014/main" id="{D9026156-2B8B-4A99-BF49-BEB1BD5412F0}"/>
            </a:ext>
          </a:extLst>
        </xdr:cNvPr>
        <xdr:cNvSpPr/>
      </xdr:nvSpPr>
      <xdr:spPr>
        <a:xfrm>
          <a:off x="25041225" y="1247775"/>
          <a:ext cx="2273300" cy="1104901"/>
        </a:xfrm>
        <a:prstGeom prst="roundRect">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SY042:</a:t>
          </a:r>
          <a:r>
            <a:rPr lang="en-GB" sz="1100" b="1" baseline="0">
              <a:solidFill>
                <a:schemeClr val="tx1"/>
              </a:solidFill>
            </a:rPr>
            <a:t> Finance Service Delivery</a:t>
          </a:r>
        </a:p>
        <a:p>
          <a:pPr algn="ctr"/>
          <a:r>
            <a:rPr lang="en-GB" sz="1100" b="1" baseline="0">
              <a:solidFill>
                <a:srgbClr val="FF0000"/>
              </a:solidFill>
            </a:rPr>
            <a:t>Accountable</a:t>
          </a:r>
        </a:p>
        <a:p>
          <a:pPr algn="ctr"/>
          <a:endParaRPr lang="en-GB" sz="1100" b="1">
            <a:solidFill>
              <a:schemeClr val="tx1"/>
            </a:solidFill>
          </a:endParaRPr>
        </a:p>
      </xdr:txBody>
    </xdr:sp>
    <xdr:clientData/>
  </xdr:twoCellAnchor>
  <xdr:twoCellAnchor>
    <xdr:from>
      <xdr:col>42</xdr:col>
      <xdr:colOff>287338</xdr:colOff>
      <xdr:row>8</xdr:row>
      <xdr:rowOff>149225</xdr:rowOff>
    </xdr:from>
    <xdr:to>
      <xdr:col>43</xdr:col>
      <xdr:colOff>234345</xdr:colOff>
      <xdr:row>10</xdr:row>
      <xdr:rowOff>6313</xdr:rowOff>
    </xdr:to>
    <xdr:sp macro="" textlink="">
      <xdr:nvSpPr>
        <xdr:cNvPr id="73" name="Rectangle 72">
          <a:extLst>
            <a:ext uri="{FF2B5EF4-FFF2-40B4-BE49-F238E27FC236}">
              <a16:creationId xmlns:a16="http://schemas.microsoft.com/office/drawing/2014/main" id="{8BA65768-47DF-4166-B5F4-B5733F035ECA}"/>
            </a:ext>
          </a:extLst>
        </xdr:cNvPr>
        <xdr:cNvSpPr/>
      </xdr:nvSpPr>
      <xdr:spPr>
        <a:xfrm>
          <a:off x="25890538" y="1933575"/>
          <a:ext cx="556607" cy="22538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16</a:t>
          </a:r>
        </a:p>
      </xdr:txBody>
    </xdr:sp>
    <xdr:clientData/>
  </xdr:twoCellAnchor>
  <xdr:twoCellAnchor>
    <xdr:from>
      <xdr:col>26</xdr:col>
      <xdr:colOff>0</xdr:colOff>
      <xdr:row>12</xdr:row>
      <xdr:rowOff>0</xdr:rowOff>
    </xdr:from>
    <xdr:to>
      <xdr:col>29</xdr:col>
      <xdr:colOff>396874</xdr:colOff>
      <xdr:row>17</xdr:row>
      <xdr:rowOff>174624</xdr:rowOff>
    </xdr:to>
    <xdr:sp macro="" textlink="">
      <xdr:nvSpPr>
        <xdr:cNvPr id="74" name="Rectangle: Rounded Corners 73">
          <a:extLst>
            <a:ext uri="{FF2B5EF4-FFF2-40B4-BE49-F238E27FC236}">
              <a16:creationId xmlns:a16="http://schemas.microsoft.com/office/drawing/2014/main" id="{9EA193E1-0308-4D80-90FD-ECDC815B0522}"/>
            </a:ext>
          </a:extLst>
        </xdr:cNvPr>
        <xdr:cNvSpPr/>
      </xdr:nvSpPr>
      <xdr:spPr>
        <a:xfrm>
          <a:off x="15849600" y="2520950"/>
          <a:ext cx="2225674" cy="1095374"/>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SY124: National Trajectory for Learning Disability and Autism Inpatients</a:t>
          </a:r>
        </a:p>
        <a:p>
          <a:pPr algn="ctr"/>
          <a:r>
            <a:rPr lang="en-GB" sz="1100" b="1">
              <a:solidFill>
                <a:srgbClr val="00B050"/>
              </a:solidFill>
            </a:rPr>
            <a:t>Responsible</a:t>
          </a:r>
        </a:p>
      </xdr:txBody>
    </xdr:sp>
    <xdr:clientData/>
  </xdr:twoCellAnchor>
  <xdr:twoCellAnchor>
    <xdr:from>
      <xdr:col>27</xdr:col>
      <xdr:colOff>233358</xdr:colOff>
      <xdr:row>16</xdr:row>
      <xdr:rowOff>58960</xdr:rowOff>
    </xdr:from>
    <xdr:to>
      <xdr:col>28</xdr:col>
      <xdr:colOff>120523</xdr:colOff>
      <xdr:row>17</xdr:row>
      <xdr:rowOff>134403</xdr:rowOff>
    </xdr:to>
    <xdr:sp macro="" textlink="">
      <xdr:nvSpPr>
        <xdr:cNvPr id="75" name="Rectangle 74">
          <a:extLst>
            <a:ext uri="{FF2B5EF4-FFF2-40B4-BE49-F238E27FC236}">
              <a16:creationId xmlns:a16="http://schemas.microsoft.com/office/drawing/2014/main" id="{A436FB06-F272-4A88-BD9F-DCC71A2D034B}"/>
            </a:ext>
          </a:extLst>
        </xdr:cNvPr>
        <xdr:cNvSpPr/>
      </xdr:nvSpPr>
      <xdr:spPr>
        <a:xfrm>
          <a:off x="16692558" y="3316510"/>
          <a:ext cx="496765" cy="259593"/>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31</xdr:col>
      <xdr:colOff>0</xdr:colOff>
      <xdr:row>12</xdr:row>
      <xdr:rowOff>0</xdr:rowOff>
    </xdr:from>
    <xdr:to>
      <xdr:col>34</xdr:col>
      <xdr:colOff>396875</xdr:colOff>
      <xdr:row>17</xdr:row>
      <xdr:rowOff>174624</xdr:rowOff>
    </xdr:to>
    <xdr:sp macro="" textlink="">
      <xdr:nvSpPr>
        <xdr:cNvPr id="76" name="Rectangle: Rounded Corners 75">
          <a:extLst>
            <a:ext uri="{FF2B5EF4-FFF2-40B4-BE49-F238E27FC236}">
              <a16:creationId xmlns:a16="http://schemas.microsoft.com/office/drawing/2014/main" id="{11752809-5E18-4751-8033-1776B510BA6E}"/>
            </a:ext>
          </a:extLst>
        </xdr:cNvPr>
        <xdr:cNvSpPr/>
      </xdr:nvSpPr>
      <xdr:spPr>
        <a:xfrm>
          <a:off x="18897600" y="2520950"/>
          <a:ext cx="2225675" cy="1095374"/>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SY124: National Trajectory for Learning Disability and Autism Inpatients</a:t>
          </a:r>
        </a:p>
        <a:p>
          <a:pPr algn="ctr"/>
          <a:r>
            <a:rPr lang="en-GB" sz="1100" b="1">
              <a:solidFill>
                <a:srgbClr val="00B050"/>
              </a:solidFill>
            </a:rPr>
            <a:t>Responsible</a:t>
          </a:r>
        </a:p>
      </xdr:txBody>
    </xdr:sp>
    <xdr:clientData/>
  </xdr:twoCellAnchor>
  <xdr:twoCellAnchor>
    <xdr:from>
      <xdr:col>32</xdr:col>
      <xdr:colOff>233359</xdr:colOff>
      <xdr:row>16</xdr:row>
      <xdr:rowOff>58960</xdr:rowOff>
    </xdr:from>
    <xdr:to>
      <xdr:col>33</xdr:col>
      <xdr:colOff>120523</xdr:colOff>
      <xdr:row>17</xdr:row>
      <xdr:rowOff>134403</xdr:rowOff>
    </xdr:to>
    <xdr:sp macro="" textlink="">
      <xdr:nvSpPr>
        <xdr:cNvPr id="77" name="Rectangle 76">
          <a:extLst>
            <a:ext uri="{FF2B5EF4-FFF2-40B4-BE49-F238E27FC236}">
              <a16:creationId xmlns:a16="http://schemas.microsoft.com/office/drawing/2014/main" id="{9CB8B925-9ABC-46AD-958C-50B08341C6CF}"/>
            </a:ext>
          </a:extLst>
        </xdr:cNvPr>
        <xdr:cNvSpPr/>
      </xdr:nvSpPr>
      <xdr:spPr>
        <a:xfrm>
          <a:off x="19740559" y="3316510"/>
          <a:ext cx="496764" cy="259593"/>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36</xdr:col>
      <xdr:colOff>0</xdr:colOff>
      <xdr:row>12</xdr:row>
      <xdr:rowOff>0</xdr:rowOff>
    </xdr:from>
    <xdr:to>
      <xdr:col>39</xdr:col>
      <xdr:colOff>396874</xdr:colOff>
      <xdr:row>17</xdr:row>
      <xdr:rowOff>174624</xdr:rowOff>
    </xdr:to>
    <xdr:sp macro="" textlink="">
      <xdr:nvSpPr>
        <xdr:cNvPr id="78" name="Rectangle: Rounded Corners 77">
          <a:extLst>
            <a:ext uri="{FF2B5EF4-FFF2-40B4-BE49-F238E27FC236}">
              <a16:creationId xmlns:a16="http://schemas.microsoft.com/office/drawing/2014/main" id="{78237875-31BC-4603-AE13-3B883BF94EDE}"/>
            </a:ext>
          </a:extLst>
        </xdr:cNvPr>
        <xdr:cNvSpPr/>
      </xdr:nvSpPr>
      <xdr:spPr>
        <a:xfrm>
          <a:off x="21945600" y="2520950"/>
          <a:ext cx="2225674" cy="1095374"/>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SY124: National Trajectory for Learning Disability and Autism Inpatients</a:t>
          </a:r>
        </a:p>
        <a:p>
          <a:pPr algn="ctr"/>
          <a:r>
            <a:rPr lang="en-GB" sz="1100" b="1">
              <a:solidFill>
                <a:srgbClr val="00B050"/>
              </a:solidFill>
            </a:rPr>
            <a:t>Responsible</a:t>
          </a:r>
        </a:p>
      </xdr:txBody>
    </xdr:sp>
    <xdr:clientData/>
  </xdr:twoCellAnchor>
  <xdr:twoCellAnchor>
    <xdr:from>
      <xdr:col>37</xdr:col>
      <xdr:colOff>233358</xdr:colOff>
      <xdr:row>16</xdr:row>
      <xdr:rowOff>58960</xdr:rowOff>
    </xdr:from>
    <xdr:to>
      <xdr:col>38</xdr:col>
      <xdr:colOff>120523</xdr:colOff>
      <xdr:row>17</xdr:row>
      <xdr:rowOff>134403</xdr:rowOff>
    </xdr:to>
    <xdr:sp macro="" textlink="">
      <xdr:nvSpPr>
        <xdr:cNvPr id="79" name="Rectangle 78">
          <a:extLst>
            <a:ext uri="{FF2B5EF4-FFF2-40B4-BE49-F238E27FC236}">
              <a16:creationId xmlns:a16="http://schemas.microsoft.com/office/drawing/2014/main" id="{B3893666-2B0F-4273-9E42-3A040BAB2560}"/>
            </a:ext>
          </a:extLst>
        </xdr:cNvPr>
        <xdr:cNvSpPr/>
      </xdr:nvSpPr>
      <xdr:spPr>
        <a:xfrm>
          <a:off x="22788558" y="3316510"/>
          <a:ext cx="496765" cy="259593"/>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41</xdr:col>
      <xdr:colOff>0</xdr:colOff>
      <xdr:row>12</xdr:row>
      <xdr:rowOff>0</xdr:rowOff>
    </xdr:from>
    <xdr:to>
      <xdr:col>44</xdr:col>
      <xdr:colOff>396875</xdr:colOff>
      <xdr:row>17</xdr:row>
      <xdr:rowOff>174624</xdr:rowOff>
    </xdr:to>
    <xdr:sp macro="" textlink="">
      <xdr:nvSpPr>
        <xdr:cNvPr id="80" name="Rectangle: Rounded Corners 79">
          <a:extLst>
            <a:ext uri="{FF2B5EF4-FFF2-40B4-BE49-F238E27FC236}">
              <a16:creationId xmlns:a16="http://schemas.microsoft.com/office/drawing/2014/main" id="{D812D69F-A4A5-4BB4-BE98-7F9BBBACCA16}"/>
            </a:ext>
          </a:extLst>
        </xdr:cNvPr>
        <xdr:cNvSpPr/>
      </xdr:nvSpPr>
      <xdr:spPr>
        <a:xfrm>
          <a:off x="24993600" y="2520950"/>
          <a:ext cx="2225675" cy="1095374"/>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SY124: National Trajectory for Learning Disability and Autism Inpatients</a:t>
          </a:r>
        </a:p>
        <a:p>
          <a:pPr algn="ctr"/>
          <a:r>
            <a:rPr lang="en-GB" sz="1100" b="1">
              <a:solidFill>
                <a:srgbClr val="00B050"/>
              </a:solidFill>
            </a:rPr>
            <a:t>Responsible</a:t>
          </a:r>
        </a:p>
      </xdr:txBody>
    </xdr:sp>
    <xdr:clientData/>
  </xdr:twoCellAnchor>
  <xdr:twoCellAnchor>
    <xdr:from>
      <xdr:col>42</xdr:col>
      <xdr:colOff>233359</xdr:colOff>
      <xdr:row>16</xdr:row>
      <xdr:rowOff>58960</xdr:rowOff>
    </xdr:from>
    <xdr:to>
      <xdr:col>43</xdr:col>
      <xdr:colOff>120523</xdr:colOff>
      <xdr:row>17</xdr:row>
      <xdr:rowOff>134403</xdr:rowOff>
    </xdr:to>
    <xdr:sp macro="" textlink="">
      <xdr:nvSpPr>
        <xdr:cNvPr id="81" name="Rectangle 80">
          <a:extLst>
            <a:ext uri="{FF2B5EF4-FFF2-40B4-BE49-F238E27FC236}">
              <a16:creationId xmlns:a16="http://schemas.microsoft.com/office/drawing/2014/main" id="{E71AE5BF-03E2-4437-A21A-AE8BA72C8F4B}"/>
            </a:ext>
          </a:extLst>
        </xdr:cNvPr>
        <xdr:cNvSpPr/>
      </xdr:nvSpPr>
      <xdr:spPr>
        <a:xfrm>
          <a:off x="25836559" y="3316510"/>
          <a:ext cx="496764" cy="259593"/>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26</xdr:col>
      <xdr:colOff>0</xdr:colOff>
      <xdr:row>19</xdr:row>
      <xdr:rowOff>0</xdr:rowOff>
    </xdr:from>
    <xdr:to>
      <xdr:col>29</xdr:col>
      <xdr:colOff>468311</xdr:colOff>
      <xdr:row>24</xdr:row>
      <xdr:rowOff>142875</xdr:rowOff>
    </xdr:to>
    <xdr:sp macro="" textlink="">
      <xdr:nvSpPr>
        <xdr:cNvPr id="82" name="Rectangle: Rounded Corners 81">
          <a:extLst>
            <a:ext uri="{FF2B5EF4-FFF2-40B4-BE49-F238E27FC236}">
              <a16:creationId xmlns:a16="http://schemas.microsoft.com/office/drawing/2014/main" id="{8C2EFD92-7C2C-4074-A366-33D0D99495CC}"/>
            </a:ext>
          </a:extLst>
        </xdr:cNvPr>
        <xdr:cNvSpPr/>
      </xdr:nvSpPr>
      <xdr:spPr>
        <a:xfrm>
          <a:off x="15849600" y="3810000"/>
          <a:ext cx="2297111" cy="1063625"/>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SY021: LeDeR</a:t>
          </a:r>
        </a:p>
        <a:p>
          <a:pPr algn="ctr"/>
          <a:r>
            <a:rPr lang="en-GB" sz="1100" b="1">
              <a:solidFill>
                <a:srgbClr val="00B050"/>
              </a:solidFill>
            </a:rPr>
            <a:t>Responsible</a:t>
          </a:r>
        </a:p>
      </xdr:txBody>
    </xdr:sp>
    <xdr:clientData/>
  </xdr:twoCellAnchor>
  <xdr:twoCellAnchor>
    <xdr:from>
      <xdr:col>27</xdr:col>
      <xdr:colOff>272295</xdr:colOff>
      <xdr:row>21</xdr:row>
      <xdr:rowOff>176294</xdr:rowOff>
    </xdr:from>
    <xdr:to>
      <xdr:col>28</xdr:col>
      <xdr:colOff>200264</xdr:colOff>
      <xdr:row>23</xdr:row>
      <xdr:rowOff>95854</xdr:rowOff>
    </xdr:to>
    <xdr:sp macro="" textlink="">
      <xdr:nvSpPr>
        <xdr:cNvPr id="83" name="Rectangle 82">
          <a:extLst>
            <a:ext uri="{FF2B5EF4-FFF2-40B4-BE49-F238E27FC236}">
              <a16:creationId xmlns:a16="http://schemas.microsoft.com/office/drawing/2014/main" id="{848594D8-2474-4AAE-8F6F-F6CC7ABE3CB5}"/>
            </a:ext>
          </a:extLst>
        </xdr:cNvPr>
        <xdr:cNvSpPr/>
      </xdr:nvSpPr>
      <xdr:spPr>
        <a:xfrm>
          <a:off x="16731495" y="4354594"/>
          <a:ext cx="537569"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31</xdr:col>
      <xdr:colOff>7938</xdr:colOff>
      <xdr:row>19</xdr:row>
      <xdr:rowOff>0</xdr:rowOff>
    </xdr:from>
    <xdr:to>
      <xdr:col>34</xdr:col>
      <xdr:colOff>476250</xdr:colOff>
      <xdr:row>24</xdr:row>
      <xdr:rowOff>142875</xdr:rowOff>
    </xdr:to>
    <xdr:sp macro="" textlink="">
      <xdr:nvSpPr>
        <xdr:cNvPr id="84" name="Rectangle: Rounded Corners 83">
          <a:extLst>
            <a:ext uri="{FF2B5EF4-FFF2-40B4-BE49-F238E27FC236}">
              <a16:creationId xmlns:a16="http://schemas.microsoft.com/office/drawing/2014/main" id="{BCB07F21-E95C-4993-98BA-7895A41B7F1E}"/>
            </a:ext>
          </a:extLst>
        </xdr:cNvPr>
        <xdr:cNvSpPr/>
      </xdr:nvSpPr>
      <xdr:spPr>
        <a:xfrm>
          <a:off x="18905538" y="3810000"/>
          <a:ext cx="2297112" cy="1063625"/>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SY021: LeDeR</a:t>
          </a:r>
        </a:p>
        <a:p>
          <a:pPr algn="ctr"/>
          <a:r>
            <a:rPr lang="en-GB" sz="1100" b="1">
              <a:solidFill>
                <a:srgbClr val="00B050"/>
              </a:solidFill>
            </a:rPr>
            <a:t>Responsible</a:t>
          </a:r>
        </a:p>
      </xdr:txBody>
    </xdr:sp>
    <xdr:clientData/>
  </xdr:twoCellAnchor>
  <xdr:twoCellAnchor>
    <xdr:from>
      <xdr:col>32</xdr:col>
      <xdr:colOff>280234</xdr:colOff>
      <xdr:row>21</xdr:row>
      <xdr:rowOff>176294</xdr:rowOff>
    </xdr:from>
    <xdr:to>
      <xdr:col>33</xdr:col>
      <xdr:colOff>208202</xdr:colOff>
      <xdr:row>23</xdr:row>
      <xdr:rowOff>95854</xdr:rowOff>
    </xdr:to>
    <xdr:sp macro="" textlink="">
      <xdr:nvSpPr>
        <xdr:cNvPr id="85" name="Rectangle 84">
          <a:extLst>
            <a:ext uri="{FF2B5EF4-FFF2-40B4-BE49-F238E27FC236}">
              <a16:creationId xmlns:a16="http://schemas.microsoft.com/office/drawing/2014/main" id="{831E5966-B819-4E02-BE3E-CC8CB09F6CD5}"/>
            </a:ext>
          </a:extLst>
        </xdr:cNvPr>
        <xdr:cNvSpPr/>
      </xdr:nvSpPr>
      <xdr:spPr>
        <a:xfrm>
          <a:off x="19787434" y="4354594"/>
          <a:ext cx="537568"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36</xdr:col>
      <xdr:colOff>0</xdr:colOff>
      <xdr:row>19</xdr:row>
      <xdr:rowOff>0</xdr:rowOff>
    </xdr:from>
    <xdr:to>
      <xdr:col>39</xdr:col>
      <xdr:colOff>468311</xdr:colOff>
      <xdr:row>24</xdr:row>
      <xdr:rowOff>142875</xdr:rowOff>
    </xdr:to>
    <xdr:sp macro="" textlink="">
      <xdr:nvSpPr>
        <xdr:cNvPr id="86" name="Rectangle: Rounded Corners 85">
          <a:extLst>
            <a:ext uri="{FF2B5EF4-FFF2-40B4-BE49-F238E27FC236}">
              <a16:creationId xmlns:a16="http://schemas.microsoft.com/office/drawing/2014/main" id="{AAB1EE93-785C-44D6-96B0-3F67C61E8529}"/>
            </a:ext>
          </a:extLst>
        </xdr:cNvPr>
        <xdr:cNvSpPr/>
      </xdr:nvSpPr>
      <xdr:spPr>
        <a:xfrm>
          <a:off x="21945600" y="3810000"/>
          <a:ext cx="2297111" cy="1063625"/>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SY021: LeDeR</a:t>
          </a:r>
        </a:p>
        <a:p>
          <a:pPr algn="ctr"/>
          <a:r>
            <a:rPr lang="en-GB" sz="1100" b="1">
              <a:solidFill>
                <a:srgbClr val="00B050"/>
              </a:solidFill>
            </a:rPr>
            <a:t>Responsible</a:t>
          </a:r>
        </a:p>
      </xdr:txBody>
    </xdr:sp>
    <xdr:clientData/>
  </xdr:twoCellAnchor>
  <xdr:twoCellAnchor>
    <xdr:from>
      <xdr:col>37</xdr:col>
      <xdr:colOff>272295</xdr:colOff>
      <xdr:row>21</xdr:row>
      <xdr:rowOff>176294</xdr:rowOff>
    </xdr:from>
    <xdr:to>
      <xdr:col>38</xdr:col>
      <xdr:colOff>200264</xdr:colOff>
      <xdr:row>23</xdr:row>
      <xdr:rowOff>95854</xdr:rowOff>
    </xdr:to>
    <xdr:sp macro="" textlink="">
      <xdr:nvSpPr>
        <xdr:cNvPr id="87" name="Rectangle 86">
          <a:extLst>
            <a:ext uri="{FF2B5EF4-FFF2-40B4-BE49-F238E27FC236}">
              <a16:creationId xmlns:a16="http://schemas.microsoft.com/office/drawing/2014/main" id="{8648876E-A582-4CFA-BD5D-E98ACC3C4EE8}"/>
            </a:ext>
          </a:extLst>
        </xdr:cNvPr>
        <xdr:cNvSpPr/>
      </xdr:nvSpPr>
      <xdr:spPr>
        <a:xfrm>
          <a:off x="22827495" y="4354594"/>
          <a:ext cx="537569"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41</xdr:col>
      <xdr:colOff>0</xdr:colOff>
      <xdr:row>19</xdr:row>
      <xdr:rowOff>0</xdr:rowOff>
    </xdr:from>
    <xdr:to>
      <xdr:col>44</xdr:col>
      <xdr:colOff>468312</xdr:colOff>
      <xdr:row>24</xdr:row>
      <xdr:rowOff>142875</xdr:rowOff>
    </xdr:to>
    <xdr:sp macro="" textlink="">
      <xdr:nvSpPr>
        <xdr:cNvPr id="88" name="Rectangle: Rounded Corners 87">
          <a:extLst>
            <a:ext uri="{FF2B5EF4-FFF2-40B4-BE49-F238E27FC236}">
              <a16:creationId xmlns:a16="http://schemas.microsoft.com/office/drawing/2014/main" id="{36CDD32C-235F-4D64-80CF-433CD0059F43}"/>
            </a:ext>
          </a:extLst>
        </xdr:cNvPr>
        <xdr:cNvSpPr/>
      </xdr:nvSpPr>
      <xdr:spPr>
        <a:xfrm>
          <a:off x="24993600" y="3810000"/>
          <a:ext cx="2297112" cy="1063625"/>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SY021: LeDeR</a:t>
          </a:r>
        </a:p>
        <a:p>
          <a:pPr algn="ctr"/>
          <a:r>
            <a:rPr lang="en-GB" sz="1100" b="1">
              <a:solidFill>
                <a:srgbClr val="00B050"/>
              </a:solidFill>
            </a:rPr>
            <a:t>Responsible</a:t>
          </a:r>
        </a:p>
      </xdr:txBody>
    </xdr:sp>
    <xdr:clientData/>
  </xdr:twoCellAnchor>
  <xdr:twoCellAnchor>
    <xdr:from>
      <xdr:col>42</xdr:col>
      <xdr:colOff>272296</xdr:colOff>
      <xdr:row>21</xdr:row>
      <xdr:rowOff>176294</xdr:rowOff>
    </xdr:from>
    <xdr:to>
      <xdr:col>43</xdr:col>
      <xdr:colOff>200264</xdr:colOff>
      <xdr:row>23</xdr:row>
      <xdr:rowOff>95854</xdr:rowOff>
    </xdr:to>
    <xdr:sp macro="" textlink="">
      <xdr:nvSpPr>
        <xdr:cNvPr id="89" name="Rectangle 88">
          <a:extLst>
            <a:ext uri="{FF2B5EF4-FFF2-40B4-BE49-F238E27FC236}">
              <a16:creationId xmlns:a16="http://schemas.microsoft.com/office/drawing/2014/main" id="{395ACBED-343B-4CDD-A28F-5A1D80670C75}"/>
            </a:ext>
          </a:extLst>
        </xdr:cNvPr>
        <xdr:cNvSpPr/>
      </xdr:nvSpPr>
      <xdr:spPr>
        <a:xfrm>
          <a:off x="25875496" y="4354594"/>
          <a:ext cx="537568"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26</xdr:col>
      <xdr:colOff>0</xdr:colOff>
      <xdr:row>26</xdr:row>
      <xdr:rowOff>0</xdr:rowOff>
    </xdr:from>
    <xdr:to>
      <xdr:col>29</xdr:col>
      <xdr:colOff>388937</xdr:colOff>
      <xdr:row>30</xdr:row>
      <xdr:rowOff>151718</xdr:rowOff>
    </xdr:to>
    <xdr:sp macro="" textlink="">
      <xdr:nvSpPr>
        <xdr:cNvPr id="90" name="Rectangle: Rounded Corners 89">
          <a:extLst>
            <a:ext uri="{FF2B5EF4-FFF2-40B4-BE49-F238E27FC236}">
              <a16:creationId xmlns:a16="http://schemas.microsoft.com/office/drawing/2014/main" id="{2D7F03AA-2CFA-4545-A80D-78D07C398486}"/>
            </a:ext>
          </a:extLst>
        </xdr:cNvPr>
        <xdr:cNvSpPr/>
      </xdr:nvSpPr>
      <xdr:spPr>
        <a:xfrm>
          <a:off x="15849600" y="5099050"/>
          <a:ext cx="2217737" cy="888318"/>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SY0113:</a:t>
          </a:r>
          <a:r>
            <a:rPr lang="en-GB" sz="1100" b="1" baseline="0">
              <a:solidFill>
                <a:schemeClr val="tx1"/>
              </a:solidFill>
            </a:rPr>
            <a:t>  Waiting Times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27</xdr:col>
      <xdr:colOff>206374</xdr:colOff>
      <xdr:row>28</xdr:row>
      <xdr:rowOff>134938</xdr:rowOff>
    </xdr:from>
    <xdr:to>
      <xdr:col>28</xdr:col>
      <xdr:colOff>134343</xdr:colOff>
      <xdr:row>30</xdr:row>
      <xdr:rowOff>54498</xdr:rowOff>
    </xdr:to>
    <xdr:sp macro="" textlink="">
      <xdr:nvSpPr>
        <xdr:cNvPr id="91" name="Rectangle 90">
          <a:extLst>
            <a:ext uri="{FF2B5EF4-FFF2-40B4-BE49-F238E27FC236}">
              <a16:creationId xmlns:a16="http://schemas.microsoft.com/office/drawing/2014/main" id="{14F0B102-CF63-4545-9DF0-E321F35210E2}"/>
            </a:ext>
          </a:extLst>
        </xdr:cNvPr>
        <xdr:cNvSpPr/>
      </xdr:nvSpPr>
      <xdr:spPr>
        <a:xfrm>
          <a:off x="16665574" y="5602288"/>
          <a:ext cx="537569"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31</xdr:col>
      <xdr:colOff>0</xdr:colOff>
      <xdr:row>26</xdr:row>
      <xdr:rowOff>0</xdr:rowOff>
    </xdr:from>
    <xdr:to>
      <xdr:col>34</xdr:col>
      <xdr:colOff>388938</xdr:colOff>
      <xdr:row>30</xdr:row>
      <xdr:rowOff>151718</xdr:rowOff>
    </xdr:to>
    <xdr:sp macro="" textlink="">
      <xdr:nvSpPr>
        <xdr:cNvPr id="92" name="Rectangle: Rounded Corners 91">
          <a:extLst>
            <a:ext uri="{FF2B5EF4-FFF2-40B4-BE49-F238E27FC236}">
              <a16:creationId xmlns:a16="http://schemas.microsoft.com/office/drawing/2014/main" id="{A9B9A1E1-6B98-4EE2-A2F3-6CAF8170C9AF}"/>
            </a:ext>
          </a:extLst>
        </xdr:cNvPr>
        <xdr:cNvSpPr/>
      </xdr:nvSpPr>
      <xdr:spPr>
        <a:xfrm>
          <a:off x="18897600" y="5099050"/>
          <a:ext cx="2217738" cy="888318"/>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SY0113:</a:t>
          </a:r>
          <a:r>
            <a:rPr lang="en-GB" sz="1100" b="1" baseline="0">
              <a:solidFill>
                <a:schemeClr val="tx1"/>
              </a:solidFill>
            </a:rPr>
            <a:t>  Waiting Times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32</xdr:col>
      <xdr:colOff>206375</xdr:colOff>
      <xdr:row>28</xdr:row>
      <xdr:rowOff>134938</xdr:rowOff>
    </xdr:from>
    <xdr:to>
      <xdr:col>33</xdr:col>
      <xdr:colOff>134343</xdr:colOff>
      <xdr:row>30</xdr:row>
      <xdr:rowOff>54498</xdr:rowOff>
    </xdr:to>
    <xdr:sp macro="" textlink="">
      <xdr:nvSpPr>
        <xdr:cNvPr id="93" name="Rectangle 92">
          <a:extLst>
            <a:ext uri="{FF2B5EF4-FFF2-40B4-BE49-F238E27FC236}">
              <a16:creationId xmlns:a16="http://schemas.microsoft.com/office/drawing/2014/main" id="{9531273F-6B20-4A06-8E6E-B4204A5E5FE8}"/>
            </a:ext>
          </a:extLst>
        </xdr:cNvPr>
        <xdr:cNvSpPr/>
      </xdr:nvSpPr>
      <xdr:spPr>
        <a:xfrm>
          <a:off x="19713575" y="5602288"/>
          <a:ext cx="537568"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36</xdr:col>
      <xdr:colOff>0</xdr:colOff>
      <xdr:row>26</xdr:row>
      <xdr:rowOff>0</xdr:rowOff>
    </xdr:from>
    <xdr:to>
      <xdr:col>39</xdr:col>
      <xdr:colOff>388937</xdr:colOff>
      <xdr:row>30</xdr:row>
      <xdr:rowOff>151718</xdr:rowOff>
    </xdr:to>
    <xdr:sp macro="" textlink="">
      <xdr:nvSpPr>
        <xdr:cNvPr id="94" name="Rectangle: Rounded Corners 93">
          <a:extLst>
            <a:ext uri="{FF2B5EF4-FFF2-40B4-BE49-F238E27FC236}">
              <a16:creationId xmlns:a16="http://schemas.microsoft.com/office/drawing/2014/main" id="{B4256B24-6A6E-45F9-9F0D-FE534625A39E}"/>
            </a:ext>
          </a:extLst>
        </xdr:cNvPr>
        <xdr:cNvSpPr/>
      </xdr:nvSpPr>
      <xdr:spPr>
        <a:xfrm>
          <a:off x="21945600" y="5099050"/>
          <a:ext cx="2217737" cy="888318"/>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SY0113:</a:t>
          </a:r>
          <a:r>
            <a:rPr lang="en-GB" sz="1100" b="1" baseline="0">
              <a:solidFill>
                <a:schemeClr val="tx1"/>
              </a:solidFill>
            </a:rPr>
            <a:t>  Waiting Times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37</xdr:col>
      <xdr:colOff>206374</xdr:colOff>
      <xdr:row>28</xdr:row>
      <xdr:rowOff>134938</xdr:rowOff>
    </xdr:from>
    <xdr:to>
      <xdr:col>38</xdr:col>
      <xdr:colOff>134343</xdr:colOff>
      <xdr:row>30</xdr:row>
      <xdr:rowOff>54498</xdr:rowOff>
    </xdr:to>
    <xdr:sp macro="" textlink="">
      <xdr:nvSpPr>
        <xdr:cNvPr id="95" name="Rectangle 94">
          <a:extLst>
            <a:ext uri="{FF2B5EF4-FFF2-40B4-BE49-F238E27FC236}">
              <a16:creationId xmlns:a16="http://schemas.microsoft.com/office/drawing/2014/main" id="{ADC9CCD4-B05D-4ACB-9BEB-51AEE61DABD4}"/>
            </a:ext>
          </a:extLst>
        </xdr:cNvPr>
        <xdr:cNvSpPr/>
      </xdr:nvSpPr>
      <xdr:spPr>
        <a:xfrm>
          <a:off x="22761574" y="5602288"/>
          <a:ext cx="537569"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41</xdr:col>
      <xdr:colOff>0</xdr:colOff>
      <xdr:row>26</xdr:row>
      <xdr:rowOff>0</xdr:rowOff>
    </xdr:from>
    <xdr:to>
      <xdr:col>44</xdr:col>
      <xdr:colOff>388938</xdr:colOff>
      <xdr:row>30</xdr:row>
      <xdr:rowOff>151718</xdr:rowOff>
    </xdr:to>
    <xdr:sp macro="" textlink="">
      <xdr:nvSpPr>
        <xdr:cNvPr id="96" name="Rectangle: Rounded Corners 95">
          <a:extLst>
            <a:ext uri="{FF2B5EF4-FFF2-40B4-BE49-F238E27FC236}">
              <a16:creationId xmlns:a16="http://schemas.microsoft.com/office/drawing/2014/main" id="{14013361-02F1-43F0-AE2B-956AFE5E3C0D}"/>
            </a:ext>
          </a:extLst>
        </xdr:cNvPr>
        <xdr:cNvSpPr/>
      </xdr:nvSpPr>
      <xdr:spPr>
        <a:xfrm>
          <a:off x="24993600" y="5099050"/>
          <a:ext cx="2217738" cy="888318"/>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SY0113:</a:t>
          </a:r>
          <a:r>
            <a:rPr lang="en-GB" sz="1100" b="1" baseline="0">
              <a:solidFill>
                <a:schemeClr val="tx1"/>
              </a:solidFill>
            </a:rPr>
            <a:t>  Waiting Times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42</xdr:col>
      <xdr:colOff>206375</xdr:colOff>
      <xdr:row>28</xdr:row>
      <xdr:rowOff>134938</xdr:rowOff>
    </xdr:from>
    <xdr:to>
      <xdr:col>43</xdr:col>
      <xdr:colOff>134343</xdr:colOff>
      <xdr:row>30</xdr:row>
      <xdr:rowOff>54498</xdr:rowOff>
    </xdr:to>
    <xdr:sp macro="" textlink="">
      <xdr:nvSpPr>
        <xdr:cNvPr id="97" name="Rectangle 96">
          <a:extLst>
            <a:ext uri="{FF2B5EF4-FFF2-40B4-BE49-F238E27FC236}">
              <a16:creationId xmlns:a16="http://schemas.microsoft.com/office/drawing/2014/main" id="{4F8E919B-E398-4017-95E1-31EBEAAD5AFC}"/>
            </a:ext>
          </a:extLst>
        </xdr:cNvPr>
        <xdr:cNvSpPr/>
      </xdr:nvSpPr>
      <xdr:spPr>
        <a:xfrm>
          <a:off x="25809575" y="5602288"/>
          <a:ext cx="537568" cy="28786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26</xdr:col>
      <xdr:colOff>0</xdr:colOff>
      <xdr:row>32</xdr:row>
      <xdr:rowOff>0</xdr:rowOff>
    </xdr:from>
    <xdr:to>
      <xdr:col>29</xdr:col>
      <xdr:colOff>476250</xdr:colOff>
      <xdr:row>36</xdr:row>
      <xdr:rowOff>32923</xdr:rowOff>
    </xdr:to>
    <xdr:sp macro="" textlink="">
      <xdr:nvSpPr>
        <xdr:cNvPr id="98" name="Rectangle: Rounded Corners 97">
          <a:extLst>
            <a:ext uri="{FF2B5EF4-FFF2-40B4-BE49-F238E27FC236}">
              <a16:creationId xmlns:a16="http://schemas.microsoft.com/office/drawing/2014/main" id="{2EAF1482-36C3-4400-8C91-002D766F0637}"/>
            </a:ext>
          </a:extLst>
        </xdr:cNvPr>
        <xdr:cNvSpPr/>
      </xdr:nvSpPr>
      <xdr:spPr>
        <a:xfrm>
          <a:off x="15849600" y="6203950"/>
          <a:ext cx="2305050" cy="769523"/>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SY040:</a:t>
          </a:r>
          <a:r>
            <a:rPr lang="en-GB" sz="1100" b="1" baseline="0">
              <a:solidFill>
                <a:schemeClr val="tx1"/>
              </a:solidFill>
            </a:rPr>
            <a:t>   CAMHS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27</xdr:col>
      <xdr:colOff>247423</xdr:colOff>
      <xdr:row>34</xdr:row>
      <xdr:rowOff>100764</xdr:rowOff>
    </xdr:from>
    <xdr:to>
      <xdr:col>28</xdr:col>
      <xdr:colOff>148147</xdr:colOff>
      <xdr:row>35</xdr:row>
      <xdr:rowOff>121931</xdr:rowOff>
    </xdr:to>
    <xdr:sp macro="" textlink="">
      <xdr:nvSpPr>
        <xdr:cNvPr id="99" name="Rectangle 98">
          <a:extLst>
            <a:ext uri="{FF2B5EF4-FFF2-40B4-BE49-F238E27FC236}">
              <a16:creationId xmlns:a16="http://schemas.microsoft.com/office/drawing/2014/main" id="{CA3FFF94-EEC6-48C3-B39E-FB2D151D54C7}"/>
            </a:ext>
          </a:extLst>
        </xdr:cNvPr>
        <xdr:cNvSpPr/>
      </xdr:nvSpPr>
      <xdr:spPr>
        <a:xfrm>
          <a:off x="16706623" y="6673014"/>
          <a:ext cx="510324" cy="205317"/>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31</xdr:col>
      <xdr:colOff>0</xdr:colOff>
      <xdr:row>32</xdr:row>
      <xdr:rowOff>0</xdr:rowOff>
    </xdr:from>
    <xdr:to>
      <xdr:col>34</xdr:col>
      <xdr:colOff>476251</xdr:colOff>
      <xdr:row>36</xdr:row>
      <xdr:rowOff>32923</xdr:rowOff>
    </xdr:to>
    <xdr:sp macro="" textlink="">
      <xdr:nvSpPr>
        <xdr:cNvPr id="100" name="Rectangle: Rounded Corners 99">
          <a:extLst>
            <a:ext uri="{FF2B5EF4-FFF2-40B4-BE49-F238E27FC236}">
              <a16:creationId xmlns:a16="http://schemas.microsoft.com/office/drawing/2014/main" id="{843D0E4D-DEFA-4467-BA3A-902F71CFBD84}"/>
            </a:ext>
          </a:extLst>
        </xdr:cNvPr>
        <xdr:cNvSpPr/>
      </xdr:nvSpPr>
      <xdr:spPr>
        <a:xfrm>
          <a:off x="18897600" y="6203950"/>
          <a:ext cx="2305051" cy="769523"/>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SY040:</a:t>
          </a:r>
          <a:r>
            <a:rPr lang="en-GB" sz="1100" b="1" baseline="0">
              <a:solidFill>
                <a:schemeClr val="tx1"/>
              </a:solidFill>
            </a:rPr>
            <a:t>   CAMHS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32</xdr:col>
      <xdr:colOff>247424</xdr:colOff>
      <xdr:row>34</xdr:row>
      <xdr:rowOff>100764</xdr:rowOff>
    </xdr:from>
    <xdr:to>
      <xdr:col>33</xdr:col>
      <xdr:colOff>148147</xdr:colOff>
      <xdr:row>35</xdr:row>
      <xdr:rowOff>121931</xdr:rowOff>
    </xdr:to>
    <xdr:sp macro="" textlink="">
      <xdr:nvSpPr>
        <xdr:cNvPr id="101" name="Rectangle 100">
          <a:extLst>
            <a:ext uri="{FF2B5EF4-FFF2-40B4-BE49-F238E27FC236}">
              <a16:creationId xmlns:a16="http://schemas.microsoft.com/office/drawing/2014/main" id="{85F93A1D-DBD3-40BC-813A-CDD22F05D5F1}"/>
            </a:ext>
          </a:extLst>
        </xdr:cNvPr>
        <xdr:cNvSpPr/>
      </xdr:nvSpPr>
      <xdr:spPr>
        <a:xfrm>
          <a:off x="19754624" y="6673014"/>
          <a:ext cx="510323" cy="205317"/>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36</xdr:col>
      <xdr:colOff>0</xdr:colOff>
      <xdr:row>32</xdr:row>
      <xdr:rowOff>0</xdr:rowOff>
    </xdr:from>
    <xdr:to>
      <xdr:col>39</xdr:col>
      <xdr:colOff>476250</xdr:colOff>
      <xdr:row>36</xdr:row>
      <xdr:rowOff>32923</xdr:rowOff>
    </xdr:to>
    <xdr:sp macro="" textlink="">
      <xdr:nvSpPr>
        <xdr:cNvPr id="102" name="Rectangle: Rounded Corners 101">
          <a:extLst>
            <a:ext uri="{FF2B5EF4-FFF2-40B4-BE49-F238E27FC236}">
              <a16:creationId xmlns:a16="http://schemas.microsoft.com/office/drawing/2014/main" id="{BACA1728-91A7-4834-89FC-CB6E2CB1019A}"/>
            </a:ext>
          </a:extLst>
        </xdr:cNvPr>
        <xdr:cNvSpPr/>
      </xdr:nvSpPr>
      <xdr:spPr>
        <a:xfrm>
          <a:off x="21945600" y="6203950"/>
          <a:ext cx="2305050" cy="769523"/>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SY040:</a:t>
          </a:r>
          <a:r>
            <a:rPr lang="en-GB" sz="1100" b="1" baseline="0">
              <a:solidFill>
                <a:schemeClr val="tx1"/>
              </a:solidFill>
            </a:rPr>
            <a:t>   CAMHS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37</xdr:col>
      <xdr:colOff>247423</xdr:colOff>
      <xdr:row>34</xdr:row>
      <xdr:rowOff>100764</xdr:rowOff>
    </xdr:from>
    <xdr:to>
      <xdr:col>38</xdr:col>
      <xdr:colOff>148147</xdr:colOff>
      <xdr:row>35</xdr:row>
      <xdr:rowOff>121931</xdr:rowOff>
    </xdr:to>
    <xdr:sp macro="" textlink="">
      <xdr:nvSpPr>
        <xdr:cNvPr id="103" name="Rectangle 102">
          <a:extLst>
            <a:ext uri="{FF2B5EF4-FFF2-40B4-BE49-F238E27FC236}">
              <a16:creationId xmlns:a16="http://schemas.microsoft.com/office/drawing/2014/main" id="{AF541273-657C-4595-A62E-59AC634016E0}"/>
            </a:ext>
          </a:extLst>
        </xdr:cNvPr>
        <xdr:cNvSpPr/>
      </xdr:nvSpPr>
      <xdr:spPr>
        <a:xfrm>
          <a:off x="22802623" y="6673014"/>
          <a:ext cx="510324" cy="205317"/>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41</xdr:col>
      <xdr:colOff>0</xdr:colOff>
      <xdr:row>32</xdr:row>
      <xdr:rowOff>0</xdr:rowOff>
    </xdr:from>
    <xdr:to>
      <xdr:col>44</xdr:col>
      <xdr:colOff>476251</xdr:colOff>
      <xdr:row>36</xdr:row>
      <xdr:rowOff>32923</xdr:rowOff>
    </xdr:to>
    <xdr:sp macro="" textlink="">
      <xdr:nvSpPr>
        <xdr:cNvPr id="104" name="Rectangle: Rounded Corners 103">
          <a:extLst>
            <a:ext uri="{FF2B5EF4-FFF2-40B4-BE49-F238E27FC236}">
              <a16:creationId xmlns:a16="http://schemas.microsoft.com/office/drawing/2014/main" id="{C1A417B9-360B-46CC-AA38-B358BBC0E8A7}"/>
            </a:ext>
          </a:extLst>
        </xdr:cNvPr>
        <xdr:cNvSpPr/>
      </xdr:nvSpPr>
      <xdr:spPr>
        <a:xfrm>
          <a:off x="24993600" y="6203950"/>
          <a:ext cx="2305051" cy="769523"/>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SY040:</a:t>
          </a:r>
          <a:r>
            <a:rPr lang="en-GB" sz="1100" b="1" baseline="0">
              <a:solidFill>
                <a:schemeClr val="tx1"/>
              </a:solidFill>
            </a:rPr>
            <a:t>   CAMHS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42</xdr:col>
      <xdr:colOff>247424</xdr:colOff>
      <xdr:row>34</xdr:row>
      <xdr:rowOff>100764</xdr:rowOff>
    </xdr:from>
    <xdr:to>
      <xdr:col>43</xdr:col>
      <xdr:colOff>148147</xdr:colOff>
      <xdr:row>35</xdr:row>
      <xdr:rowOff>121931</xdr:rowOff>
    </xdr:to>
    <xdr:sp macro="" textlink="">
      <xdr:nvSpPr>
        <xdr:cNvPr id="105" name="Rectangle 104">
          <a:extLst>
            <a:ext uri="{FF2B5EF4-FFF2-40B4-BE49-F238E27FC236}">
              <a16:creationId xmlns:a16="http://schemas.microsoft.com/office/drawing/2014/main" id="{E57EC347-FEC0-4AF9-B0FF-EC28DF2B366C}"/>
            </a:ext>
          </a:extLst>
        </xdr:cNvPr>
        <xdr:cNvSpPr/>
      </xdr:nvSpPr>
      <xdr:spPr>
        <a:xfrm>
          <a:off x="25850624" y="6673014"/>
          <a:ext cx="510323" cy="205317"/>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26</xdr:col>
      <xdr:colOff>0</xdr:colOff>
      <xdr:row>37</xdr:row>
      <xdr:rowOff>0</xdr:rowOff>
    </xdr:from>
    <xdr:to>
      <xdr:col>29</xdr:col>
      <xdr:colOff>468125</xdr:colOff>
      <xdr:row>42</xdr:row>
      <xdr:rowOff>9416</xdr:rowOff>
    </xdr:to>
    <xdr:sp macro="" textlink="">
      <xdr:nvSpPr>
        <xdr:cNvPr id="106" name="Rectangle: Rounded Corners 105">
          <a:extLst>
            <a:ext uri="{FF2B5EF4-FFF2-40B4-BE49-F238E27FC236}">
              <a16:creationId xmlns:a16="http://schemas.microsoft.com/office/drawing/2014/main" id="{9C1444F2-891C-48D9-BAD6-7CB69CF53FC7}"/>
            </a:ext>
          </a:extLst>
        </xdr:cNvPr>
        <xdr:cNvSpPr/>
      </xdr:nvSpPr>
      <xdr:spPr>
        <a:xfrm>
          <a:off x="15849600" y="7124700"/>
          <a:ext cx="2296925" cy="930166"/>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SY0107:</a:t>
          </a:r>
          <a:r>
            <a:rPr lang="en-GB" sz="1100" b="1" baseline="0">
              <a:solidFill>
                <a:schemeClr val="tx1"/>
              </a:solidFill>
            </a:rPr>
            <a:t>  Community Paediatrics/Childrens Pathways</a:t>
          </a:r>
        </a:p>
        <a:p>
          <a:pPr algn="ctr"/>
          <a:r>
            <a:rPr lang="en-GB" sz="1100" b="1">
              <a:solidFill>
                <a:srgbClr val="00B050"/>
              </a:solidFill>
              <a:effectLst/>
              <a:latin typeface="+mn-lt"/>
              <a:ea typeface="+mn-ea"/>
              <a:cs typeface="+mn-cs"/>
            </a:rPr>
            <a:t>Responsible</a:t>
          </a:r>
          <a:endParaRPr lang="en-GB">
            <a:solidFill>
              <a:srgbClr val="00B050"/>
            </a:solidFill>
            <a:effectLst/>
          </a:endParaRPr>
        </a:p>
      </xdr:txBody>
    </xdr:sp>
    <xdr:clientData/>
  </xdr:twoCellAnchor>
  <xdr:twoCellAnchor>
    <xdr:from>
      <xdr:col>27</xdr:col>
      <xdr:colOff>222251</xdr:colOff>
      <xdr:row>40</xdr:row>
      <xdr:rowOff>109992</xdr:rowOff>
    </xdr:from>
    <xdr:to>
      <xdr:col>28</xdr:col>
      <xdr:colOff>228600</xdr:colOff>
      <xdr:row>41</xdr:row>
      <xdr:rowOff>154212</xdr:rowOff>
    </xdr:to>
    <xdr:sp macro="" textlink="">
      <xdr:nvSpPr>
        <xdr:cNvPr id="107" name="Rectangle 106">
          <a:extLst>
            <a:ext uri="{FF2B5EF4-FFF2-40B4-BE49-F238E27FC236}">
              <a16:creationId xmlns:a16="http://schemas.microsoft.com/office/drawing/2014/main" id="{28CEA538-315E-4162-AF78-C4EA4143313A}"/>
            </a:ext>
          </a:extLst>
        </xdr:cNvPr>
        <xdr:cNvSpPr/>
      </xdr:nvSpPr>
      <xdr:spPr>
        <a:xfrm>
          <a:off x="16681451" y="7787142"/>
          <a:ext cx="615949" cy="22837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31</xdr:col>
      <xdr:colOff>0</xdr:colOff>
      <xdr:row>37</xdr:row>
      <xdr:rowOff>0</xdr:rowOff>
    </xdr:from>
    <xdr:to>
      <xdr:col>34</xdr:col>
      <xdr:colOff>468126</xdr:colOff>
      <xdr:row>42</xdr:row>
      <xdr:rowOff>9416</xdr:rowOff>
    </xdr:to>
    <xdr:sp macro="" textlink="">
      <xdr:nvSpPr>
        <xdr:cNvPr id="108" name="Rectangle: Rounded Corners 107">
          <a:extLst>
            <a:ext uri="{FF2B5EF4-FFF2-40B4-BE49-F238E27FC236}">
              <a16:creationId xmlns:a16="http://schemas.microsoft.com/office/drawing/2014/main" id="{4E5B8894-088D-4E2B-B3EC-DD3C87F6070D}"/>
            </a:ext>
          </a:extLst>
        </xdr:cNvPr>
        <xdr:cNvSpPr/>
      </xdr:nvSpPr>
      <xdr:spPr>
        <a:xfrm>
          <a:off x="18897600" y="7124700"/>
          <a:ext cx="2296926" cy="930166"/>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SY0107:</a:t>
          </a:r>
          <a:r>
            <a:rPr lang="en-GB" sz="1100" b="1" baseline="0">
              <a:solidFill>
                <a:schemeClr val="tx1"/>
              </a:solidFill>
            </a:rPr>
            <a:t>  Community Paediatrics/Childrens Pathways</a:t>
          </a:r>
        </a:p>
        <a:p>
          <a:pPr algn="ctr"/>
          <a:r>
            <a:rPr lang="en-GB" sz="1100" b="1">
              <a:solidFill>
                <a:srgbClr val="00B050"/>
              </a:solidFill>
              <a:effectLst/>
              <a:latin typeface="+mn-lt"/>
              <a:ea typeface="+mn-ea"/>
              <a:cs typeface="+mn-cs"/>
            </a:rPr>
            <a:t>Responsible</a:t>
          </a:r>
          <a:endParaRPr lang="en-GB">
            <a:solidFill>
              <a:srgbClr val="00B050"/>
            </a:solidFill>
            <a:effectLst/>
          </a:endParaRPr>
        </a:p>
      </xdr:txBody>
    </xdr:sp>
    <xdr:clientData/>
  </xdr:twoCellAnchor>
  <xdr:twoCellAnchor>
    <xdr:from>
      <xdr:col>32</xdr:col>
      <xdr:colOff>222252</xdr:colOff>
      <xdr:row>40</xdr:row>
      <xdr:rowOff>109992</xdr:rowOff>
    </xdr:from>
    <xdr:to>
      <xdr:col>33</xdr:col>
      <xdr:colOff>228600</xdr:colOff>
      <xdr:row>41</xdr:row>
      <xdr:rowOff>154212</xdr:rowOff>
    </xdr:to>
    <xdr:sp macro="" textlink="">
      <xdr:nvSpPr>
        <xdr:cNvPr id="109" name="Rectangle 108">
          <a:extLst>
            <a:ext uri="{FF2B5EF4-FFF2-40B4-BE49-F238E27FC236}">
              <a16:creationId xmlns:a16="http://schemas.microsoft.com/office/drawing/2014/main" id="{D9C55D30-0D87-41B4-8D07-4236F50373C6}"/>
            </a:ext>
          </a:extLst>
        </xdr:cNvPr>
        <xdr:cNvSpPr/>
      </xdr:nvSpPr>
      <xdr:spPr>
        <a:xfrm>
          <a:off x="19729452" y="7787142"/>
          <a:ext cx="615948" cy="22837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36</xdr:col>
      <xdr:colOff>0</xdr:colOff>
      <xdr:row>37</xdr:row>
      <xdr:rowOff>0</xdr:rowOff>
    </xdr:from>
    <xdr:to>
      <xdr:col>39</xdr:col>
      <xdr:colOff>468125</xdr:colOff>
      <xdr:row>42</xdr:row>
      <xdr:rowOff>9416</xdr:rowOff>
    </xdr:to>
    <xdr:sp macro="" textlink="">
      <xdr:nvSpPr>
        <xdr:cNvPr id="110" name="Rectangle: Rounded Corners 109">
          <a:extLst>
            <a:ext uri="{FF2B5EF4-FFF2-40B4-BE49-F238E27FC236}">
              <a16:creationId xmlns:a16="http://schemas.microsoft.com/office/drawing/2014/main" id="{AFDCFFC7-49EA-4D52-88C8-58C24C409EE6}"/>
            </a:ext>
          </a:extLst>
        </xdr:cNvPr>
        <xdr:cNvSpPr/>
      </xdr:nvSpPr>
      <xdr:spPr>
        <a:xfrm>
          <a:off x="21945600" y="7124700"/>
          <a:ext cx="2296925" cy="930166"/>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SY0107:</a:t>
          </a:r>
          <a:r>
            <a:rPr lang="en-GB" sz="1100" b="1" baseline="0">
              <a:solidFill>
                <a:schemeClr val="tx1"/>
              </a:solidFill>
            </a:rPr>
            <a:t>  Community Paediatrics/Childrens Pathways</a:t>
          </a:r>
        </a:p>
        <a:p>
          <a:pPr algn="ctr"/>
          <a:r>
            <a:rPr lang="en-GB" sz="1100" b="1">
              <a:solidFill>
                <a:srgbClr val="00B050"/>
              </a:solidFill>
              <a:effectLst/>
              <a:latin typeface="+mn-lt"/>
              <a:ea typeface="+mn-ea"/>
              <a:cs typeface="+mn-cs"/>
            </a:rPr>
            <a:t>Responsible</a:t>
          </a:r>
          <a:endParaRPr lang="en-GB">
            <a:solidFill>
              <a:srgbClr val="00B050"/>
            </a:solidFill>
            <a:effectLst/>
          </a:endParaRPr>
        </a:p>
      </xdr:txBody>
    </xdr:sp>
    <xdr:clientData/>
  </xdr:twoCellAnchor>
  <xdr:twoCellAnchor>
    <xdr:from>
      <xdr:col>37</xdr:col>
      <xdr:colOff>222251</xdr:colOff>
      <xdr:row>40</xdr:row>
      <xdr:rowOff>109992</xdr:rowOff>
    </xdr:from>
    <xdr:to>
      <xdr:col>38</xdr:col>
      <xdr:colOff>228600</xdr:colOff>
      <xdr:row>41</xdr:row>
      <xdr:rowOff>154212</xdr:rowOff>
    </xdr:to>
    <xdr:sp macro="" textlink="">
      <xdr:nvSpPr>
        <xdr:cNvPr id="111" name="Rectangle 110">
          <a:extLst>
            <a:ext uri="{FF2B5EF4-FFF2-40B4-BE49-F238E27FC236}">
              <a16:creationId xmlns:a16="http://schemas.microsoft.com/office/drawing/2014/main" id="{F8C1BBDB-EF37-43D2-91DA-834575D0A1A4}"/>
            </a:ext>
          </a:extLst>
        </xdr:cNvPr>
        <xdr:cNvSpPr/>
      </xdr:nvSpPr>
      <xdr:spPr>
        <a:xfrm>
          <a:off x="22777451" y="7787142"/>
          <a:ext cx="615949" cy="22837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41</xdr:col>
      <xdr:colOff>0</xdr:colOff>
      <xdr:row>37</xdr:row>
      <xdr:rowOff>0</xdr:rowOff>
    </xdr:from>
    <xdr:to>
      <xdr:col>44</xdr:col>
      <xdr:colOff>468126</xdr:colOff>
      <xdr:row>42</xdr:row>
      <xdr:rowOff>9416</xdr:rowOff>
    </xdr:to>
    <xdr:sp macro="" textlink="">
      <xdr:nvSpPr>
        <xdr:cNvPr id="112" name="Rectangle: Rounded Corners 111">
          <a:extLst>
            <a:ext uri="{FF2B5EF4-FFF2-40B4-BE49-F238E27FC236}">
              <a16:creationId xmlns:a16="http://schemas.microsoft.com/office/drawing/2014/main" id="{A23B2400-6362-456B-8F12-C1D6793B0983}"/>
            </a:ext>
          </a:extLst>
        </xdr:cNvPr>
        <xdr:cNvSpPr/>
      </xdr:nvSpPr>
      <xdr:spPr>
        <a:xfrm>
          <a:off x="24993600" y="7124700"/>
          <a:ext cx="2296926" cy="930166"/>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SY0107:</a:t>
          </a:r>
          <a:r>
            <a:rPr lang="en-GB" sz="1100" b="1" baseline="0">
              <a:solidFill>
                <a:schemeClr val="tx1"/>
              </a:solidFill>
            </a:rPr>
            <a:t>  Community Paediatrics/Childrens Pathways</a:t>
          </a:r>
        </a:p>
        <a:p>
          <a:pPr algn="ctr"/>
          <a:r>
            <a:rPr lang="en-GB" sz="1100" b="1">
              <a:solidFill>
                <a:srgbClr val="00B050"/>
              </a:solidFill>
              <a:effectLst/>
              <a:latin typeface="+mn-lt"/>
              <a:ea typeface="+mn-ea"/>
              <a:cs typeface="+mn-cs"/>
            </a:rPr>
            <a:t>Responsible</a:t>
          </a:r>
          <a:endParaRPr lang="en-GB">
            <a:solidFill>
              <a:srgbClr val="00B050"/>
            </a:solidFill>
            <a:effectLst/>
          </a:endParaRPr>
        </a:p>
      </xdr:txBody>
    </xdr:sp>
    <xdr:clientData/>
  </xdr:twoCellAnchor>
  <xdr:twoCellAnchor>
    <xdr:from>
      <xdr:col>42</xdr:col>
      <xdr:colOff>222252</xdr:colOff>
      <xdr:row>40</xdr:row>
      <xdr:rowOff>109992</xdr:rowOff>
    </xdr:from>
    <xdr:to>
      <xdr:col>43</xdr:col>
      <xdr:colOff>228600</xdr:colOff>
      <xdr:row>41</xdr:row>
      <xdr:rowOff>154212</xdr:rowOff>
    </xdr:to>
    <xdr:sp macro="" textlink="">
      <xdr:nvSpPr>
        <xdr:cNvPr id="113" name="Rectangle 112">
          <a:extLst>
            <a:ext uri="{FF2B5EF4-FFF2-40B4-BE49-F238E27FC236}">
              <a16:creationId xmlns:a16="http://schemas.microsoft.com/office/drawing/2014/main" id="{FD3CC36B-D40C-49E8-954C-7302C1BC6221}"/>
            </a:ext>
          </a:extLst>
        </xdr:cNvPr>
        <xdr:cNvSpPr/>
      </xdr:nvSpPr>
      <xdr:spPr>
        <a:xfrm>
          <a:off x="25825452" y="7787142"/>
          <a:ext cx="615948" cy="22837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26</xdr:col>
      <xdr:colOff>0</xdr:colOff>
      <xdr:row>43</xdr:row>
      <xdr:rowOff>0</xdr:rowOff>
    </xdr:from>
    <xdr:to>
      <xdr:col>29</xdr:col>
      <xdr:colOff>555625</xdr:colOff>
      <xdr:row>48</xdr:row>
      <xdr:rowOff>1</xdr:rowOff>
    </xdr:to>
    <xdr:sp macro="" textlink="">
      <xdr:nvSpPr>
        <xdr:cNvPr id="114" name="Rectangle: Rounded Corners 113">
          <a:extLst>
            <a:ext uri="{FF2B5EF4-FFF2-40B4-BE49-F238E27FC236}">
              <a16:creationId xmlns:a16="http://schemas.microsoft.com/office/drawing/2014/main" id="{B2B00F02-A387-4256-88C8-628B4721E864}"/>
            </a:ext>
          </a:extLst>
        </xdr:cNvPr>
        <xdr:cNvSpPr/>
      </xdr:nvSpPr>
      <xdr:spPr>
        <a:xfrm>
          <a:off x="15849600" y="8229600"/>
          <a:ext cx="2384425" cy="920751"/>
        </a:xfrm>
        <a:prstGeom prst="roundRect">
          <a:avLst/>
        </a:prstGeom>
        <a:solidFill>
          <a:schemeClr val="accent5">
            <a:lumMod val="40000"/>
            <a:lumOff val="6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SY082:</a:t>
          </a:r>
          <a:r>
            <a:rPr lang="en-GB" sz="1100" b="1" baseline="0">
              <a:solidFill>
                <a:schemeClr val="tx1"/>
              </a:solidFill>
            </a:rPr>
            <a:t>  Adult Mental Health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27</xdr:col>
      <xdr:colOff>309562</xdr:colOff>
      <xdr:row>46</xdr:row>
      <xdr:rowOff>15875</xdr:rowOff>
    </xdr:from>
    <xdr:to>
      <xdr:col>28</xdr:col>
      <xdr:colOff>217549</xdr:colOff>
      <xdr:row>47</xdr:row>
      <xdr:rowOff>105454</xdr:rowOff>
    </xdr:to>
    <xdr:sp macro="" textlink="">
      <xdr:nvSpPr>
        <xdr:cNvPr id="115" name="Rectangle 114">
          <a:extLst>
            <a:ext uri="{FF2B5EF4-FFF2-40B4-BE49-F238E27FC236}">
              <a16:creationId xmlns:a16="http://schemas.microsoft.com/office/drawing/2014/main" id="{0E994A81-BDC9-427D-9033-D81BC16AB3F4}"/>
            </a:ext>
          </a:extLst>
        </xdr:cNvPr>
        <xdr:cNvSpPr/>
      </xdr:nvSpPr>
      <xdr:spPr>
        <a:xfrm>
          <a:off x="16768762" y="8797925"/>
          <a:ext cx="517587" cy="27372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31</xdr:col>
      <xdr:colOff>0</xdr:colOff>
      <xdr:row>43</xdr:row>
      <xdr:rowOff>0</xdr:rowOff>
    </xdr:from>
    <xdr:to>
      <xdr:col>34</xdr:col>
      <xdr:colOff>555626</xdr:colOff>
      <xdr:row>48</xdr:row>
      <xdr:rowOff>1</xdr:rowOff>
    </xdr:to>
    <xdr:sp macro="" textlink="">
      <xdr:nvSpPr>
        <xdr:cNvPr id="116" name="Rectangle: Rounded Corners 115">
          <a:extLst>
            <a:ext uri="{FF2B5EF4-FFF2-40B4-BE49-F238E27FC236}">
              <a16:creationId xmlns:a16="http://schemas.microsoft.com/office/drawing/2014/main" id="{1B6AC5EE-B07E-49DE-8BD4-48B6C042E524}"/>
            </a:ext>
          </a:extLst>
        </xdr:cNvPr>
        <xdr:cNvSpPr/>
      </xdr:nvSpPr>
      <xdr:spPr>
        <a:xfrm>
          <a:off x="18897600" y="8229600"/>
          <a:ext cx="2384426" cy="920751"/>
        </a:xfrm>
        <a:prstGeom prst="roundRect">
          <a:avLst/>
        </a:prstGeom>
        <a:solidFill>
          <a:schemeClr val="accent5">
            <a:lumMod val="40000"/>
            <a:lumOff val="6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SY082:</a:t>
          </a:r>
          <a:r>
            <a:rPr lang="en-GB" sz="1100" b="1" baseline="0">
              <a:solidFill>
                <a:schemeClr val="tx1"/>
              </a:solidFill>
            </a:rPr>
            <a:t>  Adult Mental Health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32</xdr:col>
      <xdr:colOff>309563</xdr:colOff>
      <xdr:row>46</xdr:row>
      <xdr:rowOff>15875</xdr:rowOff>
    </xdr:from>
    <xdr:to>
      <xdr:col>33</xdr:col>
      <xdr:colOff>217549</xdr:colOff>
      <xdr:row>47</xdr:row>
      <xdr:rowOff>105454</xdr:rowOff>
    </xdr:to>
    <xdr:sp macro="" textlink="">
      <xdr:nvSpPr>
        <xdr:cNvPr id="117" name="Rectangle 116">
          <a:extLst>
            <a:ext uri="{FF2B5EF4-FFF2-40B4-BE49-F238E27FC236}">
              <a16:creationId xmlns:a16="http://schemas.microsoft.com/office/drawing/2014/main" id="{BF9D240E-6225-4CAB-A992-E1D112DF32DA}"/>
            </a:ext>
          </a:extLst>
        </xdr:cNvPr>
        <xdr:cNvSpPr/>
      </xdr:nvSpPr>
      <xdr:spPr>
        <a:xfrm>
          <a:off x="19816763" y="8797925"/>
          <a:ext cx="517586" cy="27372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36</xdr:col>
      <xdr:colOff>0</xdr:colOff>
      <xdr:row>43</xdr:row>
      <xdr:rowOff>0</xdr:rowOff>
    </xdr:from>
    <xdr:to>
      <xdr:col>39</xdr:col>
      <xdr:colOff>555625</xdr:colOff>
      <xdr:row>48</xdr:row>
      <xdr:rowOff>1</xdr:rowOff>
    </xdr:to>
    <xdr:sp macro="" textlink="">
      <xdr:nvSpPr>
        <xdr:cNvPr id="118" name="Rectangle: Rounded Corners 117">
          <a:extLst>
            <a:ext uri="{FF2B5EF4-FFF2-40B4-BE49-F238E27FC236}">
              <a16:creationId xmlns:a16="http://schemas.microsoft.com/office/drawing/2014/main" id="{417140D9-A242-4C3D-B2C4-5364DF4B4BD8}"/>
            </a:ext>
          </a:extLst>
        </xdr:cNvPr>
        <xdr:cNvSpPr/>
      </xdr:nvSpPr>
      <xdr:spPr>
        <a:xfrm>
          <a:off x="21945600" y="8229600"/>
          <a:ext cx="2384425" cy="920751"/>
        </a:xfrm>
        <a:prstGeom prst="roundRect">
          <a:avLst/>
        </a:prstGeom>
        <a:solidFill>
          <a:schemeClr val="accent5">
            <a:lumMod val="40000"/>
            <a:lumOff val="6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SY082:</a:t>
          </a:r>
          <a:r>
            <a:rPr lang="en-GB" sz="1100" b="1" baseline="0">
              <a:solidFill>
                <a:schemeClr val="tx1"/>
              </a:solidFill>
            </a:rPr>
            <a:t>  Adult Mental Health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37</xdr:col>
      <xdr:colOff>309562</xdr:colOff>
      <xdr:row>46</xdr:row>
      <xdr:rowOff>15875</xdr:rowOff>
    </xdr:from>
    <xdr:to>
      <xdr:col>38</xdr:col>
      <xdr:colOff>217549</xdr:colOff>
      <xdr:row>47</xdr:row>
      <xdr:rowOff>105454</xdr:rowOff>
    </xdr:to>
    <xdr:sp macro="" textlink="">
      <xdr:nvSpPr>
        <xdr:cNvPr id="119" name="Rectangle 118">
          <a:extLst>
            <a:ext uri="{FF2B5EF4-FFF2-40B4-BE49-F238E27FC236}">
              <a16:creationId xmlns:a16="http://schemas.microsoft.com/office/drawing/2014/main" id="{A92EE017-0637-468F-9CDA-A747FD1AF769}"/>
            </a:ext>
          </a:extLst>
        </xdr:cNvPr>
        <xdr:cNvSpPr/>
      </xdr:nvSpPr>
      <xdr:spPr>
        <a:xfrm>
          <a:off x="22864762" y="8797925"/>
          <a:ext cx="517587" cy="27372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41</xdr:col>
      <xdr:colOff>0</xdr:colOff>
      <xdr:row>43</xdr:row>
      <xdr:rowOff>0</xdr:rowOff>
    </xdr:from>
    <xdr:to>
      <xdr:col>44</xdr:col>
      <xdr:colOff>555626</xdr:colOff>
      <xdr:row>48</xdr:row>
      <xdr:rowOff>1</xdr:rowOff>
    </xdr:to>
    <xdr:sp macro="" textlink="">
      <xdr:nvSpPr>
        <xdr:cNvPr id="120" name="Rectangle: Rounded Corners 119">
          <a:extLst>
            <a:ext uri="{FF2B5EF4-FFF2-40B4-BE49-F238E27FC236}">
              <a16:creationId xmlns:a16="http://schemas.microsoft.com/office/drawing/2014/main" id="{258514EE-BB77-48D1-9BB6-8C2D3FE8C26C}"/>
            </a:ext>
          </a:extLst>
        </xdr:cNvPr>
        <xdr:cNvSpPr/>
      </xdr:nvSpPr>
      <xdr:spPr>
        <a:xfrm>
          <a:off x="24993600" y="8229600"/>
          <a:ext cx="2384426" cy="920751"/>
        </a:xfrm>
        <a:prstGeom prst="roundRect">
          <a:avLst/>
        </a:prstGeom>
        <a:solidFill>
          <a:schemeClr val="accent5">
            <a:lumMod val="40000"/>
            <a:lumOff val="6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SY082:</a:t>
          </a:r>
          <a:r>
            <a:rPr lang="en-GB" sz="1100" b="1" baseline="0">
              <a:solidFill>
                <a:schemeClr val="tx1"/>
              </a:solidFill>
            </a:rPr>
            <a:t>  Adult Mental Health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42</xdr:col>
      <xdr:colOff>309563</xdr:colOff>
      <xdr:row>46</xdr:row>
      <xdr:rowOff>15875</xdr:rowOff>
    </xdr:from>
    <xdr:to>
      <xdr:col>43</xdr:col>
      <xdr:colOff>217549</xdr:colOff>
      <xdr:row>47</xdr:row>
      <xdr:rowOff>105454</xdr:rowOff>
    </xdr:to>
    <xdr:sp macro="" textlink="">
      <xdr:nvSpPr>
        <xdr:cNvPr id="121" name="Rectangle 120">
          <a:extLst>
            <a:ext uri="{FF2B5EF4-FFF2-40B4-BE49-F238E27FC236}">
              <a16:creationId xmlns:a16="http://schemas.microsoft.com/office/drawing/2014/main" id="{D64F856E-50C6-4E22-B7B0-8398D6B0C35B}"/>
            </a:ext>
          </a:extLst>
        </xdr:cNvPr>
        <xdr:cNvSpPr/>
      </xdr:nvSpPr>
      <xdr:spPr>
        <a:xfrm>
          <a:off x="25912763" y="8797925"/>
          <a:ext cx="517586" cy="27372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26</xdr:col>
      <xdr:colOff>0</xdr:colOff>
      <xdr:row>49</xdr:row>
      <xdr:rowOff>0</xdr:rowOff>
    </xdr:from>
    <xdr:to>
      <xdr:col>29</xdr:col>
      <xdr:colOff>457994</xdr:colOff>
      <xdr:row>53</xdr:row>
      <xdr:rowOff>115888</xdr:rowOff>
    </xdr:to>
    <xdr:sp macro="" textlink="">
      <xdr:nvSpPr>
        <xdr:cNvPr id="122" name="Rectangle: Rounded Corners 121">
          <a:extLst>
            <a:ext uri="{FF2B5EF4-FFF2-40B4-BE49-F238E27FC236}">
              <a16:creationId xmlns:a16="http://schemas.microsoft.com/office/drawing/2014/main" id="{B745BD9E-3E57-4192-AEE7-82D7BAEE5655}"/>
            </a:ext>
          </a:extLst>
        </xdr:cNvPr>
        <xdr:cNvSpPr/>
      </xdr:nvSpPr>
      <xdr:spPr>
        <a:xfrm>
          <a:off x="15849600" y="9334500"/>
          <a:ext cx="2286794" cy="852488"/>
        </a:xfrm>
        <a:prstGeom prst="roundRect">
          <a:avLst/>
        </a:prstGeom>
        <a:solidFill>
          <a:srgbClr val="CFA7F7"/>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SY016:  Fraud - CHC/PBH</a:t>
          </a:r>
        </a:p>
        <a:p>
          <a:pPr algn="ctr"/>
          <a:r>
            <a:rPr lang="en-GB" sz="1100" b="1">
              <a:solidFill>
                <a:srgbClr val="00B050"/>
              </a:solidFill>
            </a:rPr>
            <a:t>Responsible</a:t>
          </a:r>
        </a:p>
      </xdr:txBody>
    </xdr:sp>
    <xdr:clientData/>
  </xdr:twoCellAnchor>
  <xdr:twoCellAnchor>
    <xdr:from>
      <xdr:col>27</xdr:col>
      <xdr:colOff>236616</xdr:colOff>
      <xdr:row>51</xdr:row>
      <xdr:rowOff>129456</xdr:rowOff>
    </xdr:from>
    <xdr:to>
      <xdr:col>28</xdr:col>
      <xdr:colOff>215978</xdr:colOff>
      <xdr:row>53</xdr:row>
      <xdr:rowOff>33299</xdr:rowOff>
    </xdr:to>
    <xdr:sp macro="" textlink="">
      <xdr:nvSpPr>
        <xdr:cNvPr id="123" name="Rectangle 122">
          <a:extLst>
            <a:ext uri="{FF2B5EF4-FFF2-40B4-BE49-F238E27FC236}">
              <a16:creationId xmlns:a16="http://schemas.microsoft.com/office/drawing/2014/main" id="{9A6559D7-474A-4B13-80A0-921899AFED6B}"/>
            </a:ext>
          </a:extLst>
        </xdr:cNvPr>
        <xdr:cNvSpPr/>
      </xdr:nvSpPr>
      <xdr:spPr>
        <a:xfrm>
          <a:off x="16695816" y="9832256"/>
          <a:ext cx="588962" cy="27214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31</xdr:col>
      <xdr:colOff>0</xdr:colOff>
      <xdr:row>49</xdr:row>
      <xdr:rowOff>0</xdr:rowOff>
    </xdr:from>
    <xdr:to>
      <xdr:col>34</xdr:col>
      <xdr:colOff>457995</xdr:colOff>
      <xdr:row>53</xdr:row>
      <xdr:rowOff>115888</xdr:rowOff>
    </xdr:to>
    <xdr:sp macro="" textlink="">
      <xdr:nvSpPr>
        <xdr:cNvPr id="124" name="Rectangle: Rounded Corners 123">
          <a:extLst>
            <a:ext uri="{FF2B5EF4-FFF2-40B4-BE49-F238E27FC236}">
              <a16:creationId xmlns:a16="http://schemas.microsoft.com/office/drawing/2014/main" id="{E750E2FD-A876-42C4-9426-F3B5EAC6163B}"/>
            </a:ext>
          </a:extLst>
        </xdr:cNvPr>
        <xdr:cNvSpPr/>
      </xdr:nvSpPr>
      <xdr:spPr>
        <a:xfrm>
          <a:off x="18897600" y="9334500"/>
          <a:ext cx="2286795" cy="852488"/>
        </a:xfrm>
        <a:prstGeom prst="roundRect">
          <a:avLst/>
        </a:prstGeom>
        <a:solidFill>
          <a:srgbClr val="CFA7F7"/>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SY016:  Fraud - CHC/PBH</a:t>
          </a:r>
        </a:p>
        <a:p>
          <a:pPr algn="ctr"/>
          <a:r>
            <a:rPr lang="en-GB" sz="1100" b="1">
              <a:solidFill>
                <a:srgbClr val="00B050"/>
              </a:solidFill>
            </a:rPr>
            <a:t>Responsible</a:t>
          </a:r>
        </a:p>
      </xdr:txBody>
    </xdr:sp>
    <xdr:clientData/>
  </xdr:twoCellAnchor>
  <xdr:twoCellAnchor>
    <xdr:from>
      <xdr:col>32</xdr:col>
      <xdr:colOff>236617</xdr:colOff>
      <xdr:row>51</xdr:row>
      <xdr:rowOff>129456</xdr:rowOff>
    </xdr:from>
    <xdr:to>
      <xdr:col>33</xdr:col>
      <xdr:colOff>215978</xdr:colOff>
      <xdr:row>53</xdr:row>
      <xdr:rowOff>33299</xdr:rowOff>
    </xdr:to>
    <xdr:sp macro="" textlink="">
      <xdr:nvSpPr>
        <xdr:cNvPr id="125" name="Rectangle 124">
          <a:extLst>
            <a:ext uri="{FF2B5EF4-FFF2-40B4-BE49-F238E27FC236}">
              <a16:creationId xmlns:a16="http://schemas.microsoft.com/office/drawing/2014/main" id="{206F113A-D811-4DC9-B754-D296C1F08D76}"/>
            </a:ext>
          </a:extLst>
        </xdr:cNvPr>
        <xdr:cNvSpPr/>
      </xdr:nvSpPr>
      <xdr:spPr>
        <a:xfrm>
          <a:off x="19743817" y="9832256"/>
          <a:ext cx="588961" cy="27214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36</xdr:col>
      <xdr:colOff>0</xdr:colOff>
      <xdr:row>49</xdr:row>
      <xdr:rowOff>0</xdr:rowOff>
    </xdr:from>
    <xdr:to>
      <xdr:col>39</xdr:col>
      <xdr:colOff>457994</xdr:colOff>
      <xdr:row>53</xdr:row>
      <xdr:rowOff>115888</xdr:rowOff>
    </xdr:to>
    <xdr:sp macro="" textlink="">
      <xdr:nvSpPr>
        <xdr:cNvPr id="126" name="Rectangle: Rounded Corners 125">
          <a:extLst>
            <a:ext uri="{FF2B5EF4-FFF2-40B4-BE49-F238E27FC236}">
              <a16:creationId xmlns:a16="http://schemas.microsoft.com/office/drawing/2014/main" id="{443FBDB5-CD58-48F8-9ED0-0C0523640E23}"/>
            </a:ext>
          </a:extLst>
        </xdr:cNvPr>
        <xdr:cNvSpPr/>
      </xdr:nvSpPr>
      <xdr:spPr>
        <a:xfrm>
          <a:off x="21945600" y="9334500"/>
          <a:ext cx="2286794" cy="852488"/>
        </a:xfrm>
        <a:prstGeom prst="roundRect">
          <a:avLst/>
        </a:prstGeom>
        <a:solidFill>
          <a:srgbClr val="CFA7F7"/>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SY016:  Fraud - CHC/PBH</a:t>
          </a:r>
        </a:p>
        <a:p>
          <a:pPr algn="ctr"/>
          <a:r>
            <a:rPr lang="en-GB" sz="1100" b="1">
              <a:solidFill>
                <a:srgbClr val="00B050"/>
              </a:solidFill>
            </a:rPr>
            <a:t>Responsible</a:t>
          </a:r>
        </a:p>
      </xdr:txBody>
    </xdr:sp>
    <xdr:clientData/>
  </xdr:twoCellAnchor>
  <xdr:twoCellAnchor>
    <xdr:from>
      <xdr:col>37</xdr:col>
      <xdr:colOff>236616</xdr:colOff>
      <xdr:row>51</xdr:row>
      <xdr:rowOff>129456</xdr:rowOff>
    </xdr:from>
    <xdr:to>
      <xdr:col>38</xdr:col>
      <xdr:colOff>215978</xdr:colOff>
      <xdr:row>53</xdr:row>
      <xdr:rowOff>33299</xdr:rowOff>
    </xdr:to>
    <xdr:sp macro="" textlink="">
      <xdr:nvSpPr>
        <xdr:cNvPr id="127" name="Rectangle 126">
          <a:extLst>
            <a:ext uri="{FF2B5EF4-FFF2-40B4-BE49-F238E27FC236}">
              <a16:creationId xmlns:a16="http://schemas.microsoft.com/office/drawing/2014/main" id="{01126393-5B89-4D8E-94F1-812DD56FFCBD}"/>
            </a:ext>
          </a:extLst>
        </xdr:cNvPr>
        <xdr:cNvSpPr/>
      </xdr:nvSpPr>
      <xdr:spPr>
        <a:xfrm>
          <a:off x="22791816" y="9832256"/>
          <a:ext cx="588962" cy="27214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41</xdr:col>
      <xdr:colOff>0</xdr:colOff>
      <xdr:row>49</xdr:row>
      <xdr:rowOff>0</xdr:rowOff>
    </xdr:from>
    <xdr:to>
      <xdr:col>44</xdr:col>
      <xdr:colOff>457995</xdr:colOff>
      <xdr:row>53</xdr:row>
      <xdr:rowOff>115888</xdr:rowOff>
    </xdr:to>
    <xdr:sp macro="" textlink="">
      <xdr:nvSpPr>
        <xdr:cNvPr id="128" name="Rectangle: Rounded Corners 127">
          <a:extLst>
            <a:ext uri="{FF2B5EF4-FFF2-40B4-BE49-F238E27FC236}">
              <a16:creationId xmlns:a16="http://schemas.microsoft.com/office/drawing/2014/main" id="{CECC9AFA-B183-4320-97BF-795C1862A2B1}"/>
            </a:ext>
          </a:extLst>
        </xdr:cNvPr>
        <xdr:cNvSpPr/>
      </xdr:nvSpPr>
      <xdr:spPr>
        <a:xfrm>
          <a:off x="24993600" y="9334500"/>
          <a:ext cx="2286795" cy="852488"/>
        </a:xfrm>
        <a:prstGeom prst="roundRect">
          <a:avLst/>
        </a:prstGeom>
        <a:solidFill>
          <a:srgbClr val="CFA7F7"/>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SY016:  Fraud - CHC/PBH</a:t>
          </a:r>
        </a:p>
        <a:p>
          <a:pPr algn="ctr"/>
          <a:r>
            <a:rPr lang="en-GB" sz="1100" b="1">
              <a:solidFill>
                <a:srgbClr val="00B050"/>
              </a:solidFill>
            </a:rPr>
            <a:t>Responsible</a:t>
          </a:r>
        </a:p>
      </xdr:txBody>
    </xdr:sp>
    <xdr:clientData/>
  </xdr:twoCellAnchor>
  <xdr:twoCellAnchor>
    <xdr:from>
      <xdr:col>42</xdr:col>
      <xdr:colOff>236617</xdr:colOff>
      <xdr:row>51</xdr:row>
      <xdr:rowOff>129456</xdr:rowOff>
    </xdr:from>
    <xdr:to>
      <xdr:col>43</xdr:col>
      <xdr:colOff>215978</xdr:colOff>
      <xdr:row>53</xdr:row>
      <xdr:rowOff>33299</xdr:rowOff>
    </xdr:to>
    <xdr:sp macro="" textlink="">
      <xdr:nvSpPr>
        <xdr:cNvPr id="129" name="Rectangle 128">
          <a:extLst>
            <a:ext uri="{FF2B5EF4-FFF2-40B4-BE49-F238E27FC236}">
              <a16:creationId xmlns:a16="http://schemas.microsoft.com/office/drawing/2014/main" id="{85BFA9B9-6B07-4E6F-9443-E4A8CE5BDB9A}"/>
            </a:ext>
          </a:extLst>
        </xdr:cNvPr>
        <xdr:cNvSpPr/>
      </xdr:nvSpPr>
      <xdr:spPr>
        <a:xfrm>
          <a:off x="25839817" y="9832256"/>
          <a:ext cx="588961" cy="27214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26</xdr:col>
      <xdr:colOff>0</xdr:colOff>
      <xdr:row>55</xdr:row>
      <xdr:rowOff>0</xdr:rowOff>
    </xdr:from>
    <xdr:to>
      <xdr:col>30</xdr:col>
      <xdr:colOff>15875</xdr:colOff>
      <xdr:row>59</xdr:row>
      <xdr:rowOff>75748</xdr:rowOff>
    </xdr:to>
    <xdr:sp macro="" textlink="">
      <xdr:nvSpPr>
        <xdr:cNvPr id="130" name="Rectangle: Rounded Corners 129">
          <a:extLst>
            <a:ext uri="{FF2B5EF4-FFF2-40B4-BE49-F238E27FC236}">
              <a16:creationId xmlns:a16="http://schemas.microsoft.com/office/drawing/2014/main" id="{B5EB7F24-FBCA-413C-8DE0-47F9EE4FB807}"/>
            </a:ext>
          </a:extLst>
        </xdr:cNvPr>
        <xdr:cNvSpPr/>
      </xdr:nvSpPr>
      <xdr:spPr>
        <a:xfrm>
          <a:off x="15849600" y="10439400"/>
          <a:ext cx="2454275" cy="812348"/>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SY044:</a:t>
          </a:r>
          <a:r>
            <a:rPr lang="en-GB" sz="1100" b="1" baseline="0">
              <a:solidFill>
                <a:schemeClr val="tx1"/>
              </a:solidFill>
            </a:rPr>
            <a:t>  Tackling Health Inequalities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27</xdr:col>
      <xdr:colOff>401068</xdr:colOff>
      <xdr:row>57</xdr:row>
      <xdr:rowOff>104435</xdr:rowOff>
    </xdr:from>
    <xdr:to>
      <xdr:col>28</xdr:col>
      <xdr:colOff>334936</xdr:colOff>
      <xdr:row>58</xdr:row>
      <xdr:rowOff>131648</xdr:rowOff>
    </xdr:to>
    <xdr:sp macro="" textlink="">
      <xdr:nvSpPr>
        <xdr:cNvPr id="131" name="Rectangle 130">
          <a:extLst>
            <a:ext uri="{FF2B5EF4-FFF2-40B4-BE49-F238E27FC236}">
              <a16:creationId xmlns:a16="http://schemas.microsoft.com/office/drawing/2014/main" id="{C67ED946-3079-498A-B503-F15E2422096F}"/>
            </a:ext>
          </a:extLst>
        </xdr:cNvPr>
        <xdr:cNvSpPr/>
      </xdr:nvSpPr>
      <xdr:spPr>
        <a:xfrm>
          <a:off x="16860268" y="10912135"/>
          <a:ext cx="543468" cy="21136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31</xdr:col>
      <xdr:colOff>0</xdr:colOff>
      <xdr:row>55</xdr:row>
      <xdr:rowOff>0</xdr:rowOff>
    </xdr:from>
    <xdr:to>
      <xdr:col>35</xdr:col>
      <xdr:colOff>15875</xdr:colOff>
      <xdr:row>59</xdr:row>
      <xdr:rowOff>75748</xdr:rowOff>
    </xdr:to>
    <xdr:sp macro="" textlink="">
      <xdr:nvSpPr>
        <xdr:cNvPr id="132" name="Rectangle: Rounded Corners 131">
          <a:extLst>
            <a:ext uri="{FF2B5EF4-FFF2-40B4-BE49-F238E27FC236}">
              <a16:creationId xmlns:a16="http://schemas.microsoft.com/office/drawing/2014/main" id="{4C3D8361-BB21-4750-9A11-0E440673C998}"/>
            </a:ext>
          </a:extLst>
        </xdr:cNvPr>
        <xdr:cNvSpPr/>
      </xdr:nvSpPr>
      <xdr:spPr>
        <a:xfrm>
          <a:off x="18897600" y="10439400"/>
          <a:ext cx="2454275" cy="812348"/>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SY044:</a:t>
          </a:r>
          <a:r>
            <a:rPr lang="en-GB" sz="1100" b="1" baseline="0">
              <a:solidFill>
                <a:schemeClr val="tx1"/>
              </a:solidFill>
            </a:rPr>
            <a:t>  Tackling Health Inequalities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32</xdr:col>
      <xdr:colOff>401069</xdr:colOff>
      <xdr:row>57</xdr:row>
      <xdr:rowOff>104435</xdr:rowOff>
    </xdr:from>
    <xdr:to>
      <xdr:col>33</xdr:col>
      <xdr:colOff>334936</xdr:colOff>
      <xdr:row>58</xdr:row>
      <xdr:rowOff>131648</xdr:rowOff>
    </xdr:to>
    <xdr:sp macro="" textlink="">
      <xdr:nvSpPr>
        <xdr:cNvPr id="133" name="Rectangle 132">
          <a:extLst>
            <a:ext uri="{FF2B5EF4-FFF2-40B4-BE49-F238E27FC236}">
              <a16:creationId xmlns:a16="http://schemas.microsoft.com/office/drawing/2014/main" id="{90E76813-2D45-4DDD-9922-E1C9084599CF}"/>
            </a:ext>
          </a:extLst>
        </xdr:cNvPr>
        <xdr:cNvSpPr/>
      </xdr:nvSpPr>
      <xdr:spPr>
        <a:xfrm>
          <a:off x="19908269" y="10912135"/>
          <a:ext cx="543467" cy="21136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36</xdr:col>
      <xdr:colOff>0</xdr:colOff>
      <xdr:row>55</xdr:row>
      <xdr:rowOff>0</xdr:rowOff>
    </xdr:from>
    <xdr:to>
      <xdr:col>40</xdr:col>
      <xdr:colOff>15875</xdr:colOff>
      <xdr:row>59</xdr:row>
      <xdr:rowOff>75748</xdr:rowOff>
    </xdr:to>
    <xdr:sp macro="" textlink="">
      <xdr:nvSpPr>
        <xdr:cNvPr id="134" name="Rectangle: Rounded Corners 133">
          <a:extLst>
            <a:ext uri="{FF2B5EF4-FFF2-40B4-BE49-F238E27FC236}">
              <a16:creationId xmlns:a16="http://schemas.microsoft.com/office/drawing/2014/main" id="{79B6576F-94AB-4935-AC27-1BFAD3C9339E}"/>
            </a:ext>
          </a:extLst>
        </xdr:cNvPr>
        <xdr:cNvSpPr/>
      </xdr:nvSpPr>
      <xdr:spPr>
        <a:xfrm>
          <a:off x="21945600" y="10439400"/>
          <a:ext cx="2454275" cy="812348"/>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SY044:</a:t>
          </a:r>
          <a:r>
            <a:rPr lang="en-GB" sz="1100" b="1" baseline="0">
              <a:solidFill>
                <a:schemeClr val="tx1"/>
              </a:solidFill>
            </a:rPr>
            <a:t>  Tackling Health Inequalities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37</xdr:col>
      <xdr:colOff>401068</xdr:colOff>
      <xdr:row>57</xdr:row>
      <xdr:rowOff>104435</xdr:rowOff>
    </xdr:from>
    <xdr:to>
      <xdr:col>38</xdr:col>
      <xdr:colOff>334936</xdr:colOff>
      <xdr:row>58</xdr:row>
      <xdr:rowOff>131648</xdr:rowOff>
    </xdr:to>
    <xdr:sp macro="" textlink="">
      <xdr:nvSpPr>
        <xdr:cNvPr id="135" name="Rectangle 134">
          <a:extLst>
            <a:ext uri="{FF2B5EF4-FFF2-40B4-BE49-F238E27FC236}">
              <a16:creationId xmlns:a16="http://schemas.microsoft.com/office/drawing/2014/main" id="{63B163FE-9295-40A5-9E0E-E9301403C1BA}"/>
            </a:ext>
          </a:extLst>
        </xdr:cNvPr>
        <xdr:cNvSpPr/>
      </xdr:nvSpPr>
      <xdr:spPr>
        <a:xfrm>
          <a:off x="22956268" y="10912135"/>
          <a:ext cx="543468" cy="21136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41</xdr:col>
      <xdr:colOff>0</xdr:colOff>
      <xdr:row>55</xdr:row>
      <xdr:rowOff>0</xdr:rowOff>
    </xdr:from>
    <xdr:to>
      <xdr:col>45</xdr:col>
      <xdr:colOff>15875</xdr:colOff>
      <xdr:row>59</xdr:row>
      <xdr:rowOff>75748</xdr:rowOff>
    </xdr:to>
    <xdr:sp macro="" textlink="">
      <xdr:nvSpPr>
        <xdr:cNvPr id="136" name="Rectangle: Rounded Corners 135">
          <a:extLst>
            <a:ext uri="{FF2B5EF4-FFF2-40B4-BE49-F238E27FC236}">
              <a16:creationId xmlns:a16="http://schemas.microsoft.com/office/drawing/2014/main" id="{D6B9B2CA-1FCA-40D2-A94F-0DB55A9E7E09}"/>
            </a:ext>
          </a:extLst>
        </xdr:cNvPr>
        <xdr:cNvSpPr/>
      </xdr:nvSpPr>
      <xdr:spPr>
        <a:xfrm>
          <a:off x="24993600" y="10439400"/>
          <a:ext cx="2454275" cy="812348"/>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SY044:</a:t>
          </a:r>
          <a:r>
            <a:rPr lang="en-GB" sz="1100" b="1" baseline="0">
              <a:solidFill>
                <a:schemeClr val="tx1"/>
              </a:solidFill>
            </a:rPr>
            <a:t>  Tackling Health Inequalities</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42</xdr:col>
      <xdr:colOff>401069</xdr:colOff>
      <xdr:row>57</xdr:row>
      <xdr:rowOff>104435</xdr:rowOff>
    </xdr:from>
    <xdr:to>
      <xdr:col>43</xdr:col>
      <xdr:colOff>334936</xdr:colOff>
      <xdr:row>58</xdr:row>
      <xdr:rowOff>131648</xdr:rowOff>
    </xdr:to>
    <xdr:sp macro="" textlink="">
      <xdr:nvSpPr>
        <xdr:cNvPr id="137" name="Rectangle 136">
          <a:extLst>
            <a:ext uri="{FF2B5EF4-FFF2-40B4-BE49-F238E27FC236}">
              <a16:creationId xmlns:a16="http://schemas.microsoft.com/office/drawing/2014/main" id="{3EAA432D-0C75-465E-ACD0-E234057DBE6F}"/>
            </a:ext>
          </a:extLst>
        </xdr:cNvPr>
        <xdr:cNvSpPr/>
      </xdr:nvSpPr>
      <xdr:spPr>
        <a:xfrm>
          <a:off x="26004269" y="10912135"/>
          <a:ext cx="543467" cy="21136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26</xdr:col>
      <xdr:colOff>0</xdr:colOff>
      <xdr:row>60</xdr:row>
      <xdr:rowOff>0</xdr:rowOff>
    </xdr:from>
    <xdr:to>
      <xdr:col>29</xdr:col>
      <xdr:colOff>443440</xdr:colOff>
      <xdr:row>64</xdr:row>
      <xdr:rowOff>145560</xdr:rowOff>
    </xdr:to>
    <xdr:sp macro="" textlink="">
      <xdr:nvSpPr>
        <xdr:cNvPr id="138" name="Rectangle: Rounded Corners 137">
          <a:extLst>
            <a:ext uri="{FF2B5EF4-FFF2-40B4-BE49-F238E27FC236}">
              <a16:creationId xmlns:a16="http://schemas.microsoft.com/office/drawing/2014/main" id="{C055AD55-FF32-4672-A28E-CA72608884BC}"/>
            </a:ext>
          </a:extLst>
        </xdr:cNvPr>
        <xdr:cNvSpPr/>
      </xdr:nvSpPr>
      <xdr:spPr>
        <a:xfrm>
          <a:off x="15849600" y="11360150"/>
          <a:ext cx="2272240" cy="882160"/>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SY061:</a:t>
          </a:r>
          <a:r>
            <a:rPr lang="en-GB" sz="1100" b="1" baseline="0">
              <a:solidFill>
                <a:schemeClr val="tx1"/>
              </a:solidFill>
            </a:rPr>
            <a:t>  Access to Primary Care</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27</xdr:col>
      <xdr:colOff>174811</xdr:colOff>
      <xdr:row>62</xdr:row>
      <xdr:rowOff>80774</xdr:rowOff>
    </xdr:from>
    <xdr:to>
      <xdr:col>28</xdr:col>
      <xdr:colOff>157349</xdr:colOff>
      <xdr:row>63</xdr:row>
      <xdr:rowOff>108063</xdr:rowOff>
    </xdr:to>
    <xdr:sp macro="" textlink="">
      <xdr:nvSpPr>
        <xdr:cNvPr id="139" name="Rectangle 138">
          <a:extLst>
            <a:ext uri="{FF2B5EF4-FFF2-40B4-BE49-F238E27FC236}">
              <a16:creationId xmlns:a16="http://schemas.microsoft.com/office/drawing/2014/main" id="{7738A7CB-5F3A-4620-8F67-56EEBB3EA372}"/>
            </a:ext>
          </a:extLst>
        </xdr:cNvPr>
        <xdr:cNvSpPr/>
      </xdr:nvSpPr>
      <xdr:spPr>
        <a:xfrm>
          <a:off x="16634011" y="11809224"/>
          <a:ext cx="592138" cy="21143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31</xdr:col>
      <xdr:colOff>0</xdr:colOff>
      <xdr:row>60</xdr:row>
      <xdr:rowOff>0</xdr:rowOff>
    </xdr:from>
    <xdr:to>
      <xdr:col>34</xdr:col>
      <xdr:colOff>443441</xdr:colOff>
      <xdr:row>64</xdr:row>
      <xdr:rowOff>145560</xdr:rowOff>
    </xdr:to>
    <xdr:sp macro="" textlink="">
      <xdr:nvSpPr>
        <xdr:cNvPr id="140" name="Rectangle: Rounded Corners 139">
          <a:extLst>
            <a:ext uri="{FF2B5EF4-FFF2-40B4-BE49-F238E27FC236}">
              <a16:creationId xmlns:a16="http://schemas.microsoft.com/office/drawing/2014/main" id="{EB28305A-4B39-4B0B-9259-D7952786A722}"/>
            </a:ext>
          </a:extLst>
        </xdr:cNvPr>
        <xdr:cNvSpPr/>
      </xdr:nvSpPr>
      <xdr:spPr>
        <a:xfrm>
          <a:off x="18897600" y="11360150"/>
          <a:ext cx="2272241" cy="882160"/>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SY061:</a:t>
          </a:r>
          <a:r>
            <a:rPr lang="en-GB" sz="1100" b="1" baseline="0">
              <a:solidFill>
                <a:schemeClr val="tx1"/>
              </a:solidFill>
            </a:rPr>
            <a:t>  Access to Primary Care</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32</xdr:col>
      <xdr:colOff>174812</xdr:colOff>
      <xdr:row>62</xdr:row>
      <xdr:rowOff>80774</xdr:rowOff>
    </xdr:from>
    <xdr:to>
      <xdr:col>33</xdr:col>
      <xdr:colOff>157349</xdr:colOff>
      <xdr:row>63</xdr:row>
      <xdr:rowOff>108063</xdr:rowOff>
    </xdr:to>
    <xdr:sp macro="" textlink="">
      <xdr:nvSpPr>
        <xdr:cNvPr id="141" name="Rectangle 140">
          <a:extLst>
            <a:ext uri="{FF2B5EF4-FFF2-40B4-BE49-F238E27FC236}">
              <a16:creationId xmlns:a16="http://schemas.microsoft.com/office/drawing/2014/main" id="{B395D7CC-D84B-4FEE-9847-E27F9CE69990}"/>
            </a:ext>
          </a:extLst>
        </xdr:cNvPr>
        <xdr:cNvSpPr/>
      </xdr:nvSpPr>
      <xdr:spPr>
        <a:xfrm>
          <a:off x="19682012" y="11809224"/>
          <a:ext cx="592137" cy="21143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36</xdr:col>
      <xdr:colOff>0</xdr:colOff>
      <xdr:row>60</xdr:row>
      <xdr:rowOff>0</xdr:rowOff>
    </xdr:from>
    <xdr:to>
      <xdr:col>39</xdr:col>
      <xdr:colOff>443440</xdr:colOff>
      <xdr:row>64</xdr:row>
      <xdr:rowOff>145560</xdr:rowOff>
    </xdr:to>
    <xdr:sp macro="" textlink="">
      <xdr:nvSpPr>
        <xdr:cNvPr id="142" name="Rectangle: Rounded Corners 141">
          <a:extLst>
            <a:ext uri="{FF2B5EF4-FFF2-40B4-BE49-F238E27FC236}">
              <a16:creationId xmlns:a16="http://schemas.microsoft.com/office/drawing/2014/main" id="{1632DA92-471D-44E9-8243-FDF10CEAEE93}"/>
            </a:ext>
          </a:extLst>
        </xdr:cNvPr>
        <xdr:cNvSpPr/>
      </xdr:nvSpPr>
      <xdr:spPr>
        <a:xfrm>
          <a:off x="21945600" y="11360150"/>
          <a:ext cx="2272240" cy="882160"/>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SY061:</a:t>
          </a:r>
          <a:r>
            <a:rPr lang="en-GB" sz="1100" b="1" baseline="0">
              <a:solidFill>
                <a:schemeClr val="tx1"/>
              </a:solidFill>
            </a:rPr>
            <a:t>  Access to Primary Care</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37</xdr:col>
      <xdr:colOff>174811</xdr:colOff>
      <xdr:row>62</xdr:row>
      <xdr:rowOff>80774</xdr:rowOff>
    </xdr:from>
    <xdr:to>
      <xdr:col>38</xdr:col>
      <xdr:colOff>157349</xdr:colOff>
      <xdr:row>63</xdr:row>
      <xdr:rowOff>108063</xdr:rowOff>
    </xdr:to>
    <xdr:sp macro="" textlink="">
      <xdr:nvSpPr>
        <xdr:cNvPr id="143" name="Rectangle 142">
          <a:extLst>
            <a:ext uri="{FF2B5EF4-FFF2-40B4-BE49-F238E27FC236}">
              <a16:creationId xmlns:a16="http://schemas.microsoft.com/office/drawing/2014/main" id="{77E48FD5-7AEE-406C-AC8D-5CEC0EB201FF}"/>
            </a:ext>
          </a:extLst>
        </xdr:cNvPr>
        <xdr:cNvSpPr/>
      </xdr:nvSpPr>
      <xdr:spPr>
        <a:xfrm>
          <a:off x="22730011" y="11809224"/>
          <a:ext cx="592138" cy="21143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41</xdr:col>
      <xdr:colOff>0</xdr:colOff>
      <xdr:row>60</xdr:row>
      <xdr:rowOff>0</xdr:rowOff>
    </xdr:from>
    <xdr:to>
      <xdr:col>44</xdr:col>
      <xdr:colOff>443441</xdr:colOff>
      <xdr:row>64</xdr:row>
      <xdr:rowOff>145560</xdr:rowOff>
    </xdr:to>
    <xdr:sp macro="" textlink="">
      <xdr:nvSpPr>
        <xdr:cNvPr id="144" name="Rectangle: Rounded Corners 143">
          <a:extLst>
            <a:ext uri="{FF2B5EF4-FFF2-40B4-BE49-F238E27FC236}">
              <a16:creationId xmlns:a16="http://schemas.microsoft.com/office/drawing/2014/main" id="{8DC3CC77-FE73-4087-B902-5387D20434FD}"/>
            </a:ext>
          </a:extLst>
        </xdr:cNvPr>
        <xdr:cNvSpPr/>
      </xdr:nvSpPr>
      <xdr:spPr>
        <a:xfrm>
          <a:off x="24993600" y="11360150"/>
          <a:ext cx="2272241" cy="882160"/>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SY061:</a:t>
          </a:r>
          <a:r>
            <a:rPr lang="en-GB" sz="1100" b="1" baseline="0">
              <a:solidFill>
                <a:schemeClr val="tx1"/>
              </a:solidFill>
            </a:rPr>
            <a:t>  Access to Primary Care</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42</xdr:col>
      <xdr:colOff>174812</xdr:colOff>
      <xdr:row>62</xdr:row>
      <xdr:rowOff>80774</xdr:rowOff>
    </xdr:from>
    <xdr:to>
      <xdr:col>43</xdr:col>
      <xdr:colOff>157349</xdr:colOff>
      <xdr:row>63</xdr:row>
      <xdr:rowOff>108063</xdr:rowOff>
    </xdr:to>
    <xdr:sp macro="" textlink="">
      <xdr:nvSpPr>
        <xdr:cNvPr id="145" name="Rectangle 144">
          <a:extLst>
            <a:ext uri="{FF2B5EF4-FFF2-40B4-BE49-F238E27FC236}">
              <a16:creationId xmlns:a16="http://schemas.microsoft.com/office/drawing/2014/main" id="{95D082C3-F503-4D40-BB13-94E801C11A72}"/>
            </a:ext>
          </a:extLst>
        </xdr:cNvPr>
        <xdr:cNvSpPr/>
      </xdr:nvSpPr>
      <xdr:spPr>
        <a:xfrm>
          <a:off x="25778012" y="11809224"/>
          <a:ext cx="592137" cy="21143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26</xdr:col>
      <xdr:colOff>0</xdr:colOff>
      <xdr:row>66</xdr:row>
      <xdr:rowOff>0</xdr:rowOff>
    </xdr:from>
    <xdr:to>
      <xdr:col>29</xdr:col>
      <xdr:colOff>587375</xdr:colOff>
      <xdr:row>71</xdr:row>
      <xdr:rowOff>30994</xdr:rowOff>
    </xdr:to>
    <xdr:sp macro="" textlink="">
      <xdr:nvSpPr>
        <xdr:cNvPr id="146" name="Rectangle: Rounded Corners 145">
          <a:extLst>
            <a:ext uri="{FF2B5EF4-FFF2-40B4-BE49-F238E27FC236}">
              <a16:creationId xmlns:a16="http://schemas.microsoft.com/office/drawing/2014/main" id="{E7251EF1-EAAE-4E9A-83F0-1075CD37D2EC}"/>
            </a:ext>
          </a:extLst>
        </xdr:cNvPr>
        <xdr:cNvSpPr/>
      </xdr:nvSpPr>
      <xdr:spPr>
        <a:xfrm>
          <a:off x="15849600" y="12465050"/>
          <a:ext cx="2416175" cy="951744"/>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SY066:</a:t>
          </a:r>
          <a:r>
            <a:rPr lang="en-GB" sz="1100" b="1" baseline="0">
              <a:solidFill>
                <a:schemeClr val="tx1"/>
              </a:solidFill>
            </a:rPr>
            <a:t>  Delayed Discharge from Hospital both Acute and MH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27</xdr:col>
      <xdr:colOff>455763</xdr:colOff>
      <xdr:row>69</xdr:row>
      <xdr:rowOff>101937</xdr:rowOff>
    </xdr:from>
    <xdr:to>
      <xdr:col>28</xdr:col>
      <xdr:colOff>376649</xdr:colOff>
      <xdr:row>70</xdr:row>
      <xdr:rowOff>178513</xdr:rowOff>
    </xdr:to>
    <xdr:sp macro="" textlink="">
      <xdr:nvSpPr>
        <xdr:cNvPr id="147" name="Rectangle 146">
          <a:extLst>
            <a:ext uri="{FF2B5EF4-FFF2-40B4-BE49-F238E27FC236}">
              <a16:creationId xmlns:a16="http://schemas.microsoft.com/office/drawing/2014/main" id="{18E4F3C4-F6A8-4697-BC2B-7FBBDB496805}"/>
            </a:ext>
          </a:extLst>
        </xdr:cNvPr>
        <xdr:cNvSpPr/>
      </xdr:nvSpPr>
      <xdr:spPr>
        <a:xfrm>
          <a:off x="16914963" y="13119437"/>
          <a:ext cx="530486" cy="260726"/>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31</xdr:col>
      <xdr:colOff>0</xdr:colOff>
      <xdr:row>66</xdr:row>
      <xdr:rowOff>0</xdr:rowOff>
    </xdr:from>
    <xdr:to>
      <xdr:col>34</xdr:col>
      <xdr:colOff>587376</xdr:colOff>
      <xdr:row>71</xdr:row>
      <xdr:rowOff>30994</xdr:rowOff>
    </xdr:to>
    <xdr:sp macro="" textlink="">
      <xdr:nvSpPr>
        <xdr:cNvPr id="148" name="Rectangle: Rounded Corners 147">
          <a:extLst>
            <a:ext uri="{FF2B5EF4-FFF2-40B4-BE49-F238E27FC236}">
              <a16:creationId xmlns:a16="http://schemas.microsoft.com/office/drawing/2014/main" id="{3B736701-774A-4F6B-B90E-315CE28DB278}"/>
            </a:ext>
          </a:extLst>
        </xdr:cNvPr>
        <xdr:cNvSpPr/>
      </xdr:nvSpPr>
      <xdr:spPr>
        <a:xfrm>
          <a:off x="18897600" y="12465050"/>
          <a:ext cx="2416176" cy="951744"/>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SY066:</a:t>
          </a:r>
          <a:r>
            <a:rPr lang="en-GB" sz="1100" b="1" baseline="0">
              <a:solidFill>
                <a:schemeClr val="tx1"/>
              </a:solidFill>
            </a:rPr>
            <a:t>  Delayed Discharge from Hospital both Acute and MH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32</xdr:col>
      <xdr:colOff>455764</xdr:colOff>
      <xdr:row>69</xdr:row>
      <xdr:rowOff>101937</xdr:rowOff>
    </xdr:from>
    <xdr:to>
      <xdr:col>33</xdr:col>
      <xdr:colOff>376649</xdr:colOff>
      <xdr:row>70</xdr:row>
      <xdr:rowOff>178513</xdr:rowOff>
    </xdr:to>
    <xdr:sp macro="" textlink="">
      <xdr:nvSpPr>
        <xdr:cNvPr id="149" name="Rectangle 148">
          <a:extLst>
            <a:ext uri="{FF2B5EF4-FFF2-40B4-BE49-F238E27FC236}">
              <a16:creationId xmlns:a16="http://schemas.microsoft.com/office/drawing/2014/main" id="{EB6F9648-020E-4AE3-B7DD-ECE058639365}"/>
            </a:ext>
          </a:extLst>
        </xdr:cNvPr>
        <xdr:cNvSpPr/>
      </xdr:nvSpPr>
      <xdr:spPr>
        <a:xfrm>
          <a:off x="19962964" y="13119437"/>
          <a:ext cx="530485" cy="260726"/>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36</xdr:col>
      <xdr:colOff>0</xdr:colOff>
      <xdr:row>66</xdr:row>
      <xdr:rowOff>0</xdr:rowOff>
    </xdr:from>
    <xdr:to>
      <xdr:col>39</xdr:col>
      <xdr:colOff>587375</xdr:colOff>
      <xdr:row>71</xdr:row>
      <xdr:rowOff>30994</xdr:rowOff>
    </xdr:to>
    <xdr:sp macro="" textlink="">
      <xdr:nvSpPr>
        <xdr:cNvPr id="150" name="Rectangle: Rounded Corners 149">
          <a:extLst>
            <a:ext uri="{FF2B5EF4-FFF2-40B4-BE49-F238E27FC236}">
              <a16:creationId xmlns:a16="http://schemas.microsoft.com/office/drawing/2014/main" id="{82BDB376-0B47-44A2-AF3A-C2956682778C}"/>
            </a:ext>
          </a:extLst>
        </xdr:cNvPr>
        <xdr:cNvSpPr/>
      </xdr:nvSpPr>
      <xdr:spPr>
        <a:xfrm>
          <a:off x="21945600" y="12465050"/>
          <a:ext cx="2416175" cy="951744"/>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SY066:</a:t>
          </a:r>
          <a:r>
            <a:rPr lang="en-GB" sz="1100" b="1" baseline="0">
              <a:solidFill>
                <a:schemeClr val="tx1"/>
              </a:solidFill>
            </a:rPr>
            <a:t>  Delayed Discharge from Hospital both Acute and MH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37</xdr:col>
      <xdr:colOff>455763</xdr:colOff>
      <xdr:row>69</xdr:row>
      <xdr:rowOff>101937</xdr:rowOff>
    </xdr:from>
    <xdr:to>
      <xdr:col>38</xdr:col>
      <xdr:colOff>376649</xdr:colOff>
      <xdr:row>70</xdr:row>
      <xdr:rowOff>178513</xdr:rowOff>
    </xdr:to>
    <xdr:sp macro="" textlink="">
      <xdr:nvSpPr>
        <xdr:cNvPr id="151" name="Rectangle 150">
          <a:extLst>
            <a:ext uri="{FF2B5EF4-FFF2-40B4-BE49-F238E27FC236}">
              <a16:creationId xmlns:a16="http://schemas.microsoft.com/office/drawing/2014/main" id="{B1DB4687-2FA8-4B23-A459-10BF0631E126}"/>
            </a:ext>
          </a:extLst>
        </xdr:cNvPr>
        <xdr:cNvSpPr/>
      </xdr:nvSpPr>
      <xdr:spPr>
        <a:xfrm>
          <a:off x="23010963" y="13119437"/>
          <a:ext cx="530486" cy="260726"/>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41</xdr:col>
      <xdr:colOff>0</xdr:colOff>
      <xdr:row>66</xdr:row>
      <xdr:rowOff>0</xdr:rowOff>
    </xdr:from>
    <xdr:to>
      <xdr:col>44</xdr:col>
      <xdr:colOff>587376</xdr:colOff>
      <xdr:row>71</xdr:row>
      <xdr:rowOff>30994</xdr:rowOff>
    </xdr:to>
    <xdr:sp macro="" textlink="">
      <xdr:nvSpPr>
        <xdr:cNvPr id="152" name="Rectangle: Rounded Corners 151">
          <a:extLst>
            <a:ext uri="{FF2B5EF4-FFF2-40B4-BE49-F238E27FC236}">
              <a16:creationId xmlns:a16="http://schemas.microsoft.com/office/drawing/2014/main" id="{753F1560-B977-4D6A-9D3D-4CEF1109A9E9}"/>
            </a:ext>
          </a:extLst>
        </xdr:cNvPr>
        <xdr:cNvSpPr/>
      </xdr:nvSpPr>
      <xdr:spPr>
        <a:xfrm>
          <a:off x="24993600" y="12465050"/>
          <a:ext cx="2416176" cy="951744"/>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SY066:</a:t>
          </a:r>
          <a:r>
            <a:rPr lang="en-GB" sz="1100" b="1" baseline="0">
              <a:solidFill>
                <a:schemeClr val="tx1"/>
              </a:solidFill>
            </a:rPr>
            <a:t>  Delayed Discharge from Hospital both Acute and MH</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42</xdr:col>
      <xdr:colOff>455764</xdr:colOff>
      <xdr:row>69</xdr:row>
      <xdr:rowOff>101937</xdr:rowOff>
    </xdr:from>
    <xdr:to>
      <xdr:col>43</xdr:col>
      <xdr:colOff>376649</xdr:colOff>
      <xdr:row>70</xdr:row>
      <xdr:rowOff>178513</xdr:rowOff>
    </xdr:to>
    <xdr:sp macro="" textlink="">
      <xdr:nvSpPr>
        <xdr:cNvPr id="153" name="Rectangle 152">
          <a:extLst>
            <a:ext uri="{FF2B5EF4-FFF2-40B4-BE49-F238E27FC236}">
              <a16:creationId xmlns:a16="http://schemas.microsoft.com/office/drawing/2014/main" id="{89336EF1-FCE6-48A8-8CCD-A1D50EC95831}"/>
            </a:ext>
          </a:extLst>
        </xdr:cNvPr>
        <xdr:cNvSpPr/>
      </xdr:nvSpPr>
      <xdr:spPr>
        <a:xfrm>
          <a:off x="26058964" y="13119437"/>
          <a:ext cx="530485" cy="260726"/>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51</xdr:col>
      <xdr:colOff>0</xdr:colOff>
      <xdr:row>7</xdr:row>
      <xdr:rowOff>0</xdr:rowOff>
    </xdr:from>
    <xdr:to>
      <xdr:col>54</xdr:col>
      <xdr:colOff>558271</xdr:colOff>
      <xdr:row>12</xdr:row>
      <xdr:rowOff>0</xdr:rowOff>
    </xdr:to>
    <xdr:sp macro="" textlink="">
      <xdr:nvSpPr>
        <xdr:cNvPr id="154" name="Rectangle: Rounded Corners 153">
          <a:extLst>
            <a:ext uri="{FF2B5EF4-FFF2-40B4-BE49-F238E27FC236}">
              <a16:creationId xmlns:a16="http://schemas.microsoft.com/office/drawing/2014/main" id="{DCA09736-3AB8-4311-84EF-D73859A9B501}"/>
            </a:ext>
          </a:extLst>
        </xdr:cNvPr>
        <xdr:cNvSpPr/>
      </xdr:nvSpPr>
      <xdr:spPr>
        <a:xfrm>
          <a:off x="31089600" y="1600200"/>
          <a:ext cx="2387071" cy="920750"/>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SY017:</a:t>
          </a:r>
          <a:r>
            <a:rPr lang="en-GB" sz="1100" b="1" baseline="0">
              <a:solidFill>
                <a:schemeClr val="tx1"/>
              </a:solidFill>
            </a:rPr>
            <a:t>  Fire Regulations</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52</xdr:col>
      <xdr:colOff>202402</xdr:colOff>
      <xdr:row>10</xdr:row>
      <xdr:rowOff>12815</xdr:rowOff>
    </xdr:from>
    <xdr:to>
      <xdr:col>53</xdr:col>
      <xdr:colOff>210338</xdr:colOff>
      <xdr:row>11</xdr:row>
      <xdr:rowOff>117591</xdr:rowOff>
    </xdr:to>
    <xdr:sp macro="" textlink="">
      <xdr:nvSpPr>
        <xdr:cNvPr id="155" name="Rectangle 154">
          <a:extLst>
            <a:ext uri="{FF2B5EF4-FFF2-40B4-BE49-F238E27FC236}">
              <a16:creationId xmlns:a16="http://schemas.microsoft.com/office/drawing/2014/main" id="{49C8632C-7422-487D-8317-70D5BE6DDBC9}"/>
            </a:ext>
          </a:extLst>
        </xdr:cNvPr>
        <xdr:cNvSpPr/>
      </xdr:nvSpPr>
      <xdr:spPr>
        <a:xfrm>
          <a:off x="31901602" y="2165465"/>
          <a:ext cx="617536" cy="288926"/>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3</a:t>
          </a:r>
        </a:p>
      </xdr:txBody>
    </xdr:sp>
    <xdr:clientData/>
  </xdr:twoCellAnchor>
  <xdr:twoCellAnchor>
    <xdr:from>
      <xdr:col>46</xdr:col>
      <xdr:colOff>0</xdr:colOff>
      <xdr:row>7</xdr:row>
      <xdr:rowOff>0</xdr:rowOff>
    </xdr:from>
    <xdr:to>
      <xdr:col>49</xdr:col>
      <xdr:colOff>539029</xdr:colOff>
      <xdr:row>11</xdr:row>
      <xdr:rowOff>166685</xdr:rowOff>
    </xdr:to>
    <xdr:sp macro="" textlink="">
      <xdr:nvSpPr>
        <xdr:cNvPr id="156" name="Rectangle: Rounded Corners 155">
          <a:extLst>
            <a:ext uri="{FF2B5EF4-FFF2-40B4-BE49-F238E27FC236}">
              <a16:creationId xmlns:a16="http://schemas.microsoft.com/office/drawing/2014/main" id="{DD2E3CF5-E82A-47C1-9EE6-BF96733974AE}"/>
            </a:ext>
          </a:extLst>
        </xdr:cNvPr>
        <xdr:cNvSpPr/>
      </xdr:nvSpPr>
      <xdr:spPr>
        <a:xfrm>
          <a:off x="28041600" y="1600200"/>
          <a:ext cx="2367829" cy="903285"/>
        </a:xfrm>
        <a:prstGeom prst="roundRect">
          <a:avLst/>
        </a:prstGeom>
        <a:solidFill>
          <a:srgbClr val="CC9900"/>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SY133:</a:t>
          </a:r>
          <a:r>
            <a:rPr lang="en-GB" sz="1100" b="1" baseline="0">
              <a:solidFill>
                <a:schemeClr val="tx1"/>
              </a:solidFill>
            </a:rPr>
            <a:t>  Information Governance - Primary Care Data</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47</xdr:col>
      <xdr:colOff>230187</xdr:colOff>
      <xdr:row>10</xdr:row>
      <xdr:rowOff>55562</xdr:rowOff>
    </xdr:from>
    <xdr:to>
      <xdr:col>48</xdr:col>
      <xdr:colOff>238124</xdr:colOff>
      <xdr:row>11</xdr:row>
      <xdr:rowOff>160339</xdr:rowOff>
    </xdr:to>
    <xdr:sp macro="" textlink="">
      <xdr:nvSpPr>
        <xdr:cNvPr id="157" name="Rectangle 156">
          <a:extLst>
            <a:ext uri="{FF2B5EF4-FFF2-40B4-BE49-F238E27FC236}">
              <a16:creationId xmlns:a16="http://schemas.microsoft.com/office/drawing/2014/main" id="{5F3072DF-18CF-4A1D-BCE3-D8CEBC62407D}"/>
            </a:ext>
          </a:extLst>
        </xdr:cNvPr>
        <xdr:cNvSpPr/>
      </xdr:nvSpPr>
      <xdr:spPr>
        <a:xfrm>
          <a:off x="28881387" y="2208212"/>
          <a:ext cx="617537" cy="288927"/>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a:t>
          </a:r>
        </a:p>
      </xdr:txBody>
    </xdr:sp>
    <xdr:clientData/>
  </xdr:twoCellAnchor>
  <xdr:twoCellAnchor>
    <xdr:from>
      <xdr:col>26</xdr:col>
      <xdr:colOff>0</xdr:colOff>
      <xdr:row>74</xdr:row>
      <xdr:rowOff>0</xdr:rowOff>
    </xdr:from>
    <xdr:to>
      <xdr:col>29</xdr:col>
      <xdr:colOff>525043</xdr:colOff>
      <xdr:row>79</xdr:row>
      <xdr:rowOff>18295</xdr:rowOff>
    </xdr:to>
    <xdr:sp macro="" textlink="">
      <xdr:nvSpPr>
        <xdr:cNvPr id="158" name="Rectangle: Rounded Corners 157">
          <a:extLst>
            <a:ext uri="{FF2B5EF4-FFF2-40B4-BE49-F238E27FC236}">
              <a16:creationId xmlns:a16="http://schemas.microsoft.com/office/drawing/2014/main" id="{6A89ED6C-1DA6-418A-B745-88C72D393F1F}"/>
            </a:ext>
          </a:extLst>
        </xdr:cNvPr>
        <xdr:cNvSpPr/>
      </xdr:nvSpPr>
      <xdr:spPr>
        <a:xfrm>
          <a:off x="15849600" y="13938250"/>
          <a:ext cx="2353843" cy="939045"/>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SY049:</a:t>
          </a:r>
          <a:r>
            <a:rPr lang="en-GB" sz="1100" b="1" baseline="0">
              <a:solidFill>
                <a:schemeClr val="tx1"/>
              </a:solidFill>
            </a:rPr>
            <a:t>  Compliance with Policies at Place</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27</xdr:col>
      <xdr:colOff>235966</xdr:colOff>
      <xdr:row>77</xdr:row>
      <xdr:rowOff>48345</xdr:rowOff>
    </xdr:from>
    <xdr:to>
      <xdr:col>28</xdr:col>
      <xdr:colOff>208978</xdr:colOff>
      <xdr:row>78</xdr:row>
      <xdr:rowOff>67396</xdr:rowOff>
    </xdr:to>
    <xdr:sp macro="" textlink="">
      <xdr:nvSpPr>
        <xdr:cNvPr id="159" name="Rectangle 158">
          <a:extLst>
            <a:ext uri="{FF2B5EF4-FFF2-40B4-BE49-F238E27FC236}">
              <a16:creationId xmlns:a16="http://schemas.microsoft.com/office/drawing/2014/main" id="{7A9A14BA-34AF-47D3-8599-5A929E6D8A2B}"/>
            </a:ext>
          </a:extLst>
        </xdr:cNvPr>
        <xdr:cNvSpPr/>
      </xdr:nvSpPr>
      <xdr:spPr>
        <a:xfrm>
          <a:off x="16695166" y="14539045"/>
          <a:ext cx="582612" cy="20320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31</xdr:col>
      <xdr:colOff>0</xdr:colOff>
      <xdr:row>74</xdr:row>
      <xdr:rowOff>0</xdr:rowOff>
    </xdr:from>
    <xdr:to>
      <xdr:col>34</xdr:col>
      <xdr:colOff>525044</xdr:colOff>
      <xdr:row>79</xdr:row>
      <xdr:rowOff>18295</xdr:rowOff>
    </xdr:to>
    <xdr:sp macro="" textlink="">
      <xdr:nvSpPr>
        <xdr:cNvPr id="160" name="Rectangle: Rounded Corners 159">
          <a:extLst>
            <a:ext uri="{FF2B5EF4-FFF2-40B4-BE49-F238E27FC236}">
              <a16:creationId xmlns:a16="http://schemas.microsoft.com/office/drawing/2014/main" id="{8582A994-D531-4EBB-87B6-095FC3FB4C46}"/>
            </a:ext>
          </a:extLst>
        </xdr:cNvPr>
        <xdr:cNvSpPr/>
      </xdr:nvSpPr>
      <xdr:spPr>
        <a:xfrm>
          <a:off x="18897600" y="13938250"/>
          <a:ext cx="2353844" cy="939045"/>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SY049:</a:t>
          </a:r>
          <a:r>
            <a:rPr lang="en-GB" sz="1100" b="1" baseline="0">
              <a:solidFill>
                <a:schemeClr val="tx1"/>
              </a:solidFill>
            </a:rPr>
            <a:t>  Compliance with Policies at Place</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32</xdr:col>
      <xdr:colOff>235967</xdr:colOff>
      <xdr:row>77</xdr:row>
      <xdr:rowOff>48345</xdr:rowOff>
    </xdr:from>
    <xdr:to>
      <xdr:col>33</xdr:col>
      <xdr:colOff>208978</xdr:colOff>
      <xdr:row>78</xdr:row>
      <xdr:rowOff>67396</xdr:rowOff>
    </xdr:to>
    <xdr:sp macro="" textlink="">
      <xdr:nvSpPr>
        <xdr:cNvPr id="161" name="Rectangle 160">
          <a:extLst>
            <a:ext uri="{FF2B5EF4-FFF2-40B4-BE49-F238E27FC236}">
              <a16:creationId xmlns:a16="http://schemas.microsoft.com/office/drawing/2014/main" id="{D29DACCE-B2AD-4D1A-881C-98F6F34A86BE}"/>
            </a:ext>
          </a:extLst>
        </xdr:cNvPr>
        <xdr:cNvSpPr/>
      </xdr:nvSpPr>
      <xdr:spPr>
        <a:xfrm>
          <a:off x="19743167" y="14539045"/>
          <a:ext cx="582611" cy="20320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36</xdr:col>
      <xdr:colOff>0</xdr:colOff>
      <xdr:row>74</xdr:row>
      <xdr:rowOff>0</xdr:rowOff>
    </xdr:from>
    <xdr:to>
      <xdr:col>39</xdr:col>
      <xdr:colOff>525043</xdr:colOff>
      <xdr:row>79</xdr:row>
      <xdr:rowOff>18295</xdr:rowOff>
    </xdr:to>
    <xdr:sp macro="" textlink="">
      <xdr:nvSpPr>
        <xdr:cNvPr id="162" name="Rectangle: Rounded Corners 161">
          <a:extLst>
            <a:ext uri="{FF2B5EF4-FFF2-40B4-BE49-F238E27FC236}">
              <a16:creationId xmlns:a16="http://schemas.microsoft.com/office/drawing/2014/main" id="{8E7B307C-CB43-4BA2-AE1D-C8A7E086BE0B}"/>
            </a:ext>
          </a:extLst>
        </xdr:cNvPr>
        <xdr:cNvSpPr/>
      </xdr:nvSpPr>
      <xdr:spPr>
        <a:xfrm>
          <a:off x="21945600" y="13938250"/>
          <a:ext cx="2353843" cy="939045"/>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SY049:</a:t>
          </a:r>
          <a:r>
            <a:rPr lang="en-GB" sz="1100" b="1" baseline="0">
              <a:solidFill>
                <a:schemeClr val="tx1"/>
              </a:solidFill>
            </a:rPr>
            <a:t>  Compliance with Policies at Place</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37</xdr:col>
      <xdr:colOff>235966</xdr:colOff>
      <xdr:row>77</xdr:row>
      <xdr:rowOff>48345</xdr:rowOff>
    </xdr:from>
    <xdr:to>
      <xdr:col>38</xdr:col>
      <xdr:colOff>208978</xdr:colOff>
      <xdr:row>78</xdr:row>
      <xdr:rowOff>67396</xdr:rowOff>
    </xdr:to>
    <xdr:sp macro="" textlink="">
      <xdr:nvSpPr>
        <xdr:cNvPr id="163" name="Rectangle 162">
          <a:extLst>
            <a:ext uri="{FF2B5EF4-FFF2-40B4-BE49-F238E27FC236}">
              <a16:creationId xmlns:a16="http://schemas.microsoft.com/office/drawing/2014/main" id="{C114181B-2FF7-4E4A-A790-0E3013A5FCEE}"/>
            </a:ext>
          </a:extLst>
        </xdr:cNvPr>
        <xdr:cNvSpPr/>
      </xdr:nvSpPr>
      <xdr:spPr>
        <a:xfrm>
          <a:off x="22791166" y="14539045"/>
          <a:ext cx="582612" cy="20320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41</xdr:col>
      <xdr:colOff>0</xdr:colOff>
      <xdr:row>74</xdr:row>
      <xdr:rowOff>0</xdr:rowOff>
    </xdr:from>
    <xdr:to>
      <xdr:col>44</xdr:col>
      <xdr:colOff>525044</xdr:colOff>
      <xdr:row>79</xdr:row>
      <xdr:rowOff>18295</xdr:rowOff>
    </xdr:to>
    <xdr:sp macro="" textlink="">
      <xdr:nvSpPr>
        <xdr:cNvPr id="164" name="Rectangle: Rounded Corners 163">
          <a:extLst>
            <a:ext uri="{FF2B5EF4-FFF2-40B4-BE49-F238E27FC236}">
              <a16:creationId xmlns:a16="http://schemas.microsoft.com/office/drawing/2014/main" id="{3055D2E7-6AD4-4525-BEEB-DAAB75B09F08}"/>
            </a:ext>
          </a:extLst>
        </xdr:cNvPr>
        <xdr:cNvSpPr/>
      </xdr:nvSpPr>
      <xdr:spPr>
        <a:xfrm>
          <a:off x="24993600" y="13938250"/>
          <a:ext cx="2353844" cy="939045"/>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SY049:</a:t>
          </a:r>
          <a:r>
            <a:rPr lang="en-GB" sz="1100" b="1" baseline="0">
              <a:solidFill>
                <a:schemeClr val="tx1"/>
              </a:solidFill>
            </a:rPr>
            <a:t>  Compliance with Policies at Place</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42</xdr:col>
      <xdr:colOff>235967</xdr:colOff>
      <xdr:row>77</xdr:row>
      <xdr:rowOff>48345</xdr:rowOff>
    </xdr:from>
    <xdr:to>
      <xdr:col>43</xdr:col>
      <xdr:colOff>208978</xdr:colOff>
      <xdr:row>78</xdr:row>
      <xdr:rowOff>67396</xdr:rowOff>
    </xdr:to>
    <xdr:sp macro="" textlink="">
      <xdr:nvSpPr>
        <xdr:cNvPr id="165" name="Rectangle 164">
          <a:extLst>
            <a:ext uri="{FF2B5EF4-FFF2-40B4-BE49-F238E27FC236}">
              <a16:creationId xmlns:a16="http://schemas.microsoft.com/office/drawing/2014/main" id="{E5F8984C-17E9-44A0-8D0A-A8265C00D867}"/>
            </a:ext>
          </a:extLst>
        </xdr:cNvPr>
        <xdr:cNvSpPr/>
      </xdr:nvSpPr>
      <xdr:spPr>
        <a:xfrm>
          <a:off x="25839167" y="14539045"/>
          <a:ext cx="582611" cy="20320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76</xdr:col>
      <xdr:colOff>63500</xdr:colOff>
      <xdr:row>4</xdr:row>
      <xdr:rowOff>142875</xdr:rowOff>
    </xdr:from>
    <xdr:to>
      <xdr:col>79</xdr:col>
      <xdr:colOff>452439</xdr:colOff>
      <xdr:row>10</xdr:row>
      <xdr:rowOff>111126</xdr:rowOff>
    </xdr:to>
    <xdr:sp macro="" textlink="">
      <xdr:nvSpPr>
        <xdr:cNvPr id="166" name="Rectangle: Rounded Corners 165">
          <a:extLst>
            <a:ext uri="{FF2B5EF4-FFF2-40B4-BE49-F238E27FC236}">
              <a16:creationId xmlns:a16="http://schemas.microsoft.com/office/drawing/2014/main" id="{EB9497BD-18B1-4BAD-AE6F-2123D419DF47}"/>
            </a:ext>
          </a:extLst>
        </xdr:cNvPr>
        <xdr:cNvSpPr/>
      </xdr:nvSpPr>
      <xdr:spPr>
        <a:xfrm>
          <a:off x="46393100" y="1190625"/>
          <a:ext cx="2217739" cy="1073151"/>
        </a:xfrm>
        <a:prstGeom prst="roundRect">
          <a:avLst/>
        </a:prstGeom>
        <a:solidFill>
          <a:schemeClr val="accent1">
            <a:lumMod val="40000"/>
            <a:lumOff val="60000"/>
          </a:schemeClr>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SY131:</a:t>
          </a:r>
          <a:r>
            <a:rPr lang="en-GB" sz="1100" b="1" baseline="0">
              <a:solidFill>
                <a:schemeClr val="tx1"/>
              </a:solidFill>
            </a:rPr>
            <a:t> Infection Control</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77</xdr:col>
      <xdr:colOff>349250</xdr:colOff>
      <xdr:row>7</xdr:row>
      <xdr:rowOff>161396</xdr:rowOff>
    </xdr:from>
    <xdr:to>
      <xdr:col>78</xdr:col>
      <xdr:colOff>208020</xdr:colOff>
      <xdr:row>9</xdr:row>
      <xdr:rowOff>77305</xdr:rowOff>
    </xdr:to>
    <xdr:sp macro="" textlink="">
      <xdr:nvSpPr>
        <xdr:cNvPr id="167" name="Rectangle 166">
          <a:extLst>
            <a:ext uri="{FF2B5EF4-FFF2-40B4-BE49-F238E27FC236}">
              <a16:creationId xmlns:a16="http://schemas.microsoft.com/office/drawing/2014/main" id="{27309246-475F-4547-BA2D-EB809C81170A}"/>
            </a:ext>
          </a:extLst>
        </xdr:cNvPr>
        <xdr:cNvSpPr/>
      </xdr:nvSpPr>
      <xdr:spPr>
        <a:xfrm>
          <a:off x="47288450" y="1761596"/>
          <a:ext cx="468370" cy="284209"/>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15</a:t>
          </a:r>
        </a:p>
      </xdr:txBody>
    </xdr:sp>
    <xdr:clientData/>
  </xdr:twoCellAnchor>
  <xdr:twoCellAnchor>
    <xdr:from>
      <xdr:col>61</xdr:col>
      <xdr:colOff>0</xdr:colOff>
      <xdr:row>7</xdr:row>
      <xdr:rowOff>0</xdr:rowOff>
    </xdr:from>
    <xdr:to>
      <xdr:col>64</xdr:col>
      <xdr:colOff>514235</xdr:colOff>
      <xdr:row>11</xdr:row>
      <xdr:rowOff>155426</xdr:rowOff>
    </xdr:to>
    <xdr:sp macro="" textlink="">
      <xdr:nvSpPr>
        <xdr:cNvPr id="168" name="Rectangle: Rounded Corners 167">
          <a:extLst>
            <a:ext uri="{FF2B5EF4-FFF2-40B4-BE49-F238E27FC236}">
              <a16:creationId xmlns:a16="http://schemas.microsoft.com/office/drawing/2014/main" id="{F8318151-EDF6-4843-9CB4-E6AF3C4B1F32}"/>
            </a:ext>
          </a:extLst>
        </xdr:cNvPr>
        <xdr:cNvSpPr/>
      </xdr:nvSpPr>
      <xdr:spPr>
        <a:xfrm>
          <a:off x="37185600" y="1600200"/>
          <a:ext cx="2343035" cy="892026"/>
        </a:xfrm>
        <a:prstGeom prst="roundRect">
          <a:avLst/>
        </a:prstGeom>
        <a:solidFill>
          <a:srgbClr val="ABFB5B"/>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SY011:</a:t>
          </a:r>
          <a:r>
            <a:rPr lang="en-GB" sz="1100" b="1" baseline="0">
              <a:solidFill>
                <a:schemeClr val="tx1"/>
              </a:solidFill>
            </a:rPr>
            <a:t>  EPRR Arrangements</a:t>
          </a:r>
        </a:p>
        <a:p>
          <a:pPr algn="ctr"/>
          <a:r>
            <a:rPr lang="en-GB" sz="1100" b="1" baseline="0">
              <a:solidFill>
                <a:srgbClr val="00B050"/>
              </a:solidFill>
            </a:rPr>
            <a:t>Responsible</a:t>
          </a:r>
          <a:endParaRPr lang="en-GB" sz="1100" b="1">
            <a:solidFill>
              <a:srgbClr val="00B050"/>
            </a:solidFill>
          </a:endParaRPr>
        </a:p>
      </xdr:txBody>
    </xdr:sp>
    <xdr:clientData/>
  </xdr:twoCellAnchor>
  <xdr:twoCellAnchor>
    <xdr:from>
      <xdr:col>62</xdr:col>
      <xdr:colOff>190878</xdr:colOff>
      <xdr:row>9</xdr:row>
      <xdr:rowOff>122652</xdr:rowOff>
    </xdr:from>
    <xdr:to>
      <xdr:col>63</xdr:col>
      <xdr:colOff>198815</xdr:colOff>
      <xdr:row>10</xdr:row>
      <xdr:rowOff>159846</xdr:rowOff>
    </xdr:to>
    <xdr:sp macro="" textlink="">
      <xdr:nvSpPr>
        <xdr:cNvPr id="169" name="Rectangle 168">
          <a:extLst>
            <a:ext uri="{FF2B5EF4-FFF2-40B4-BE49-F238E27FC236}">
              <a16:creationId xmlns:a16="http://schemas.microsoft.com/office/drawing/2014/main" id="{FC33BDED-FAE3-40F6-9BB9-705C0AEBD556}"/>
            </a:ext>
          </a:extLst>
        </xdr:cNvPr>
        <xdr:cNvSpPr/>
      </xdr:nvSpPr>
      <xdr:spPr>
        <a:xfrm>
          <a:off x="37986078" y="2091152"/>
          <a:ext cx="617537" cy="221344"/>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4</a:t>
          </a:r>
        </a:p>
      </xdr:txBody>
    </xdr:sp>
    <xdr:clientData/>
  </xdr:twoCellAnchor>
  <xdr:twoCellAnchor>
    <xdr:from>
      <xdr:col>56</xdr:col>
      <xdr:colOff>0</xdr:colOff>
      <xdr:row>5</xdr:row>
      <xdr:rowOff>0</xdr:rowOff>
    </xdr:from>
    <xdr:to>
      <xdr:col>59</xdr:col>
      <xdr:colOff>515937</xdr:colOff>
      <xdr:row>10</xdr:row>
      <xdr:rowOff>31750</xdr:rowOff>
    </xdr:to>
    <xdr:sp macro="" textlink="">
      <xdr:nvSpPr>
        <xdr:cNvPr id="170" name="Rectangle: Rounded Corners 169">
          <a:extLst>
            <a:ext uri="{FF2B5EF4-FFF2-40B4-BE49-F238E27FC236}">
              <a16:creationId xmlns:a16="http://schemas.microsoft.com/office/drawing/2014/main" id="{21FEDB52-13C2-4936-A4D5-9F1932DB9173}"/>
            </a:ext>
          </a:extLst>
        </xdr:cNvPr>
        <xdr:cNvSpPr/>
      </xdr:nvSpPr>
      <xdr:spPr>
        <a:xfrm>
          <a:off x="34137600" y="1231900"/>
          <a:ext cx="2344737" cy="952500"/>
        </a:xfrm>
        <a:prstGeom prst="roundRect">
          <a:avLst/>
        </a:prstGeom>
        <a:solidFill>
          <a:srgbClr val="CFA7F7"/>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SY112:  Fraud - Pharmacy</a:t>
          </a:r>
          <a:r>
            <a:rPr lang="en-GB" sz="1100" b="1" baseline="0">
              <a:solidFill>
                <a:schemeClr val="tx1"/>
              </a:solidFill>
            </a:rPr>
            <a:t> Dispensing</a:t>
          </a:r>
          <a:endParaRPr lang="en-GB" sz="1100" b="1">
            <a:solidFill>
              <a:schemeClr val="tx1"/>
            </a:solidFill>
          </a:endParaRPr>
        </a:p>
        <a:p>
          <a:pPr algn="ctr"/>
          <a:r>
            <a:rPr lang="en-GB" sz="1100" b="1">
              <a:solidFill>
                <a:srgbClr val="FF0000"/>
              </a:solidFill>
            </a:rPr>
            <a:t>Accountable</a:t>
          </a:r>
        </a:p>
      </xdr:txBody>
    </xdr:sp>
    <xdr:clientData/>
  </xdr:twoCellAnchor>
  <xdr:twoCellAnchor>
    <xdr:from>
      <xdr:col>57</xdr:col>
      <xdr:colOff>260429</xdr:colOff>
      <xdr:row>8</xdr:row>
      <xdr:rowOff>73894</xdr:rowOff>
    </xdr:from>
    <xdr:to>
      <xdr:col>58</xdr:col>
      <xdr:colOff>239791</xdr:colOff>
      <xdr:row>9</xdr:row>
      <xdr:rowOff>160299</xdr:rowOff>
    </xdr:to>
    <xdr:sp macro="" textlink="">
      <xdr:nvSpPr>
        <xdr:cNvPr id="171" name="Rectangle 170">
          <a:extLst>
            <a:ext uri="{FF2B5EF4-FFF2-40B4-BE49-F238E27FC236}">
              <a16:creationId xmlns:a16="http://schemas.microsoft.com/office/drawing/2014/main" id="{B404210A-6EFA-4193-8EF0-A002C86EC10D}"/>
            </a:ext>
          </a:extLst>
        </xdr:cNvPr>
        <xdr:cNvSpPr/>
      </xdr:nvSpPr>
      <xdr:spPr>
        <a:xfrm>
          <a:off x="35007629" y="1858244"/>
          <a:ext cx="588962" cy="270555"/>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71</xdr:col>
      <xdr:colOff>47625</xdr:colOff>
      <xdr:row>6</xdr:row>
      <xdr:rowOff>79376</xdr:rowOff>
    </xdr:from>
    <xdr:to>
      <xdr:col>74</xdr:col>
      <xdr:colOff>500063</xdr:colOff>
      <xdr:row>12</xdr:row>
      <xdr:rowOff>23814</xdr:rowOff>
    </xdr:to>
    <xdr:sp macro="" textlink="">
      <xdr:nvSpPr>
        <xdr:cNvPr id="172" name="Rectangle: Rounded Corners 171">
          <a:extLst>
            <a:ext uri="{FF2B5EF4-FFF2-40B4-BE49-F238E27FC236}">
              <a16:creationId xmlns:a16="http://schemas.microsoft.com/office/drawing/2014/main" id="{6DB2FD75-E241-45CE-A5A0-0458811404C2}"/>
            </a:ext>
          </a:extLst>
        </xdr:cNvPr>
        <xdr:cNvSpPr/>
      </xdr:nvSpPr>
      <xdr:spPr>
        <a:xfrm>
          <a:off x="43329225" y="1495426"/>
          <a:ext cx="2281238" cy="1049338"/>
        </a:xfrm>
        <a:prstGeom prst="roundRect">
          <a:avLst/>
        </a:prstGeom>
        <a:solidFill>
          <a:schemeClr val="accent1">
            <a:lumMod val="40000"/>
            <a:lumOff val="60000"/>
          </a:schemeClr>
        </a:solid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SY127:</a:t>
          </a:r>
          <a:r>
            <a:rPr lang="en-GB" sz="1100" b="1" baseline="0">
              <a:solidFill>
                <a:schemeClr val="tx1"/>
              </a:solidFill>
            </a:rPr>
            <a:t>  Children and Young People</a:t>
          </a:r>
        </a:p>
        <a:p>
          <a:pPr algn="ctr"/>
          <a:r>
            <a:rPr lang="en-GB" sz="1100" b="1" baseline="0">
              <a:solidFill>
                <a:schemeClr val="accent1"/>
              </a:solidFill>
            </a:rPr>
            <a:t>Consulted</a:t>
          </a:r>
          <a:endParaRPr lang="en-GB" sz="1100" b="1">
            <a:solidFill>
              <a:schemeClr val="accent1"/>
            </a:solidFill>
          </a:endParaRPr>
        </a:p>
      </xdr:txBody>
    </xdr:sp>
    <xdr:clientData/>
  </xdr:twoCellAnchor>
  <xdr:twoCellAnchor>
    <xdr:from>
      <xdr:col>72</xdr:col>
      <xdr:colOff>317501</xdr:colOff>
      <xdr:row>10</xdr:row>
      <xdr:rowOff>44980</xdr:rowOff>
    </xdr:from>
    <xdr:to>
      <xdr:col>73</xdr:col>
      <xdr:colOff>254612</xdr:colOff>
      <xdr:row>11</xdr:row>
      <xdr:rowOff>62992</xdr:rowOff>
    </xdr:to>
    <xdr:sp macro="" textlink="">
      <xdr:nvSpPr>
        <xdr:cNvPr id="173" name="Rectangle 172">
          <a:extLst>
            <a:ext uri="{FF2B5EF4-FFF2-40B4-BE49-F238E27FC236}">
              <a16:creationId xmlns:a16="http://schemas.microsoft.com/office/drawing/2014/main" id="{27DF68B5-63A4-43DE-BE0F-E27FF96C1EA0}"/>
            </a:ext>
          </a:extLst>
        </xdr:cNvPr>
        <xdr:cNvSpPr/>
      </xdr:nvSpPr>
      <xdr:spPr>
        <a:xfrm>
          <a:off x="44208701" y="2197630"/>
          <a:ext cx="546711" cy="20216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4</a:t>
          </a:r>
        </a:p>
      </xdr:txBody>
    </xdr:sp>
    <xdr:clientData/>
  </xdr:twoCellAnchor>
  <xdr:twoCellAnchor>
    <xdr:from>
      <xdr:col>81</xdr:col>
      <xdr:colOff>0</xdr:colOff>
      <xdr:row>4</xdr:row>
      <xdr:rowOff>158751</xdr:rowOff>
    </xdr:from>
    <xdr:to>
      <xdr:col>85</xdr:col>
      <xdr:colOff>63500</xdr:colOff>
      <xdr:row>10</xdr:row>
      <xdr:rowOff>87313</xdr:rowOff>
    </xdr:to>
    <xdr:sp macro="" textlink="">
      <xdr:nvSpPr>
        <xdr:cNvPr id="174" name="Rectangle: Rounded Corners 173">
          <a:extLst>
            <a:ext uri="{FF2B5EF4-FFF2-40B4-BE49-F238E27FC236}">
              <a16:creationId xmlns:a16="http://schemas.microsoft.com/office/drawing/2014/main" id="{B9BC391F-DD67-4C38-950B-04B54FA11DA2}"/>
            </a:ext>
          </a:extLst>
        </xdr:cNvPr>
        <xdr:cNvSpPr/>
      </xdr:nvSpPr>
      <xdr:spPr>
        <a:xfrm>
          <a:off x="49377600" y="1206501"/>
          <a:ext cx="2501900" cy="1033462"/>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SY132:</a:t>
          </a:r>
          <a:r>
            <a:rPr lang="en-GB" sz="1100" b="1" baseline="0">
              <a:solidFill>
                <a:schemeClr val="tx1"/>
              </a:solidFill>
            </a:rPr>
            <a:t>  GP Action</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82</xdr:col>
      <xdr:colOff>341615</xdr:colOff>
      <xdr:row>8</xdr:row>
      <xdr:rowOff>77523</xdr:rowOff>
    </xdr:from>
    <xdr:to>
      <xdr:col>83</xdr:col>
      <xdr:colOff>276928</xdr:colOff>
      <xdr:row>9</xdr:row>
      <xdr:rowOff>120319</xdr:rowOff>
    </xdr:to>
    <xdr:sp macro="" textlink="">
      <xdr:nvSpPr>
        <xdr:cNvPr id="175" name="Rectangle 174">
          <a:extLst>
            <a:ext uri="{FF2B5EF4-FFF2-40B4-BE49-F238E27FC236}">
              <a16:creationId xmlns:a16="http://schemas.microsoft.com/office/drawing/2014/main" id="{8E371DBA-BA49-4DF9-BCE5-F00C28A31257}"/>
            </a:ext>
          </a:extLst>
        </xdr:cNvPr>
        <xdr:cNvSpPr/>
      </xdr:nvSpPr>
      <xdr:spPr>
        <a:xfrm>
          <a:off x="50328815" y="1861873"/>
          <a:ext cx="544913" cy="226946"/>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16</a:t>
          </a:r>
        </a:p>
      </xdr:txBody>
    </xdr:sp>
    <xdr:clientData/>
  </xdr:twoCellAnchor>
  <xdr:twoCellAnchor>
    <xdr:from>
      <xdr:col>81</xdr:col>
      <xdr:colOff>0</xdr:colOff>
      <xdr:row>11</xdr:row>
      <xdr:rowOff>0</xdr:rowOff>
    </xdr:from>
    <xdr:to>
      <xdr:col>85</xdr:col>
      <xdr:colOff>19423</xdr:colOff>
      <xdr:row>15</xdr:row>
      <xdr:rowOff>149718</xdr:rowOff>
    </xdr:to>
    <xdr:sp macro="" textlink="">
      <xdr:nvSpPr>
        <xdr:cNvPr id="176" name="Rectangle: Rounded Corners 175">
          <a:extLst>
            <a:ext uri="{FF2B5EF4-FFF2-40B4-BE49-F238E27FC236}">
              <a16:creationId xmlns:a16="http://schemas.microsoft.com/office/drawing/2014/main" id="{BFA2C1B4-6C3A-4F0C-BC37-C71F5DF2B343}"/>
            </a:ext>
          </a:extLst>
        </xdr:cNvPr>
        <xdr:cNvSpPr/>
      </xdr:nvSpPr>
      <xdr:spPr>
        <a:xfrm>
          <a:off x="49377600" y="2336800"/>
          <a:ext cx="2457823" cy="886318"/>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SY069:</a:t>
          </a:r>
          <a:r>
            <a:rPr lang="en-GB" sz="1100" b="1" baseline="0">
              <a:solidFill>
                <a:schemeClr val="tx1"/>
              </a:solidFill>
            </a:rPr>
            <a:t>  Primary Care Delegation</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82</xdr:col>
      <xdr:colOff>476554</xdr:colOff>
      <xdr:row>13</xdr:row>
      <xdr:rowOff>109272</xdr:rowOff>
    </xdr:from>
    <xdr:to>
      <xdr:col>83</xdr:col>
      <xdr:colOff>400168</xdr:colOff>
      <xdr:row>15</xdr:row>
      <xdr:rowOff>18903</xdr:rowOff>
    </xdr:to>
    <xdr:sp macro="" textlink="">
      <xdr:nvSpPr>
        <xdr:cNvPr id="177" name="Rectangle 176">
          <a:extLst>
            <a:ext uri="{FF2B5EF4-FFF2-40B4-BE49-F238E27FC236}">
              <a16:creationId xmlns:a16="http://schemas.microsoft.com/office/drawing/2014/main" id="{FAE8B8DC-C671-4D2B-9D96-C73CA8C4F8BC}"/>
            </a:ext>
          </a:extLst>
        </xdr:cNvPr>
        <xdr:cNvSpPr/>
      </xdr:nvSpPr>
      <xdr:spPr>
        <a:xfrm>
          <a:off x="50463754" y="2814372"/>
          <a:ext cx="533214" cy="277931"/>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9</a:t>
          </a:r>
        </a:p>
      </xdr:txBody>
    </xdr:sp>
    <xdr:clientData/>
  </xdr:twoCellAnchor>
  <xdr:twoCellAnchor>
    <xdr:from>
      <xdr:col>81</xdr:col>
      <xdr:colOff>0</xdr:colOff>
      <xdr:row>18</xdr:row>
      <xdr:rowOff>119061</xdr:rowOff>
    </xdr:from>
    <xdr:to>
      <xdr:col>85</xdr:col>
      <xdr:colOff>71438</xdr:colOff>
      <xdr:row>23</xdr:row>
      <xdr:rowOff>55560</xdr:rowOff>
    </xdr:to>
    <xdr:sp macro="" textlink="">
      <xdr:nvSpPr>
        <xdr:cNvPr id="178" name="Rectangle: Rounded Corners 177">
          <a:extLst>
            <a:ext uri="{FF2B5EF4-FFF2-40B4-BE49-F238E27FC236}">
              <a16:creationId xmlns:a16="http://schemas.microsoft.com/office/drawing/2014/main" id="{8512CD76-5003-44E4-BE5D-7C2F63899C9D}"/>
            </a:ext>
          </a:extLst>
        </xdr:cNvPr>
        <xdr:cNvSpPr/>
      </xdr:nvSpPr>
      <xdr:spPr>
        <a:xfrm>
          <a:off x="49377600" y="3744911"/>
          <a:ext cx="2509838" cy="857249"/>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SY079:</a:t>
          </a:r>
          <a:r>
            <a:rPr lang="en-GB" sz="1100" b="1" baseline="0">
              <a:solidFill>
                <a:schemeClr val="tx1"/>
              </a:solidFill>
            </a:rPr>
            <a:t>  Primary Care Partnership working</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82</xdr:col>
      <xdr:colOff>343769</xdr:colOff>
      <xdr:row>21</xdr:row>
      <xdr:rowOff>166461</xdr:rowOff>
    </xdr:from>
    <xdr:to>
      <xdr:col>83</xdr:col>
      <xdr:colOff>266774</xdr:colOff>
      <xdr:row>23</xdr:row>
      <xdr:rowOff>14704</xdr:rowOff>
    </xdr:to>
    <xdr:sp macro="" textlink="">
      <xdr:nvSpPr>
        <xdr:cNvPr id="179" name="Rectangle 178">
          <a:extLst>
            <a:ext uri="{FF2B5EF4-FFF2-40B4-BE49-F238E27FC236}">
              <a16:creationId xmlns:a16="http://schemas.microsoft.com/office/drawing/2014/main" id="{59F4D952-DB42-4C69-B750-90008698313F}"/>
            </a:ext>
          </a:extLst>
        </xdr:cNvPr>
        <xdr:cNvSpPr/>
      </xdr:nvSpPr>
      <xdr:spPr>
        <a:xfrm>
          <a:off x="50330969" y="4344761"/>
          <a:ext cx="532605" cy="21654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6</a:t>
          </a:r>
        </a:p>
      </xdr:txBody>
    </xdr:sp>
    <xdr:clientData/>
  </xdr:twoCellAnchor>
  <xdr:twoCellAnchor>
    <xdr:from>
      <xdr:col>96</xdr:col>
      <xdr:colOff>0</xdr:colOff>
      <xdr:row>5</xdr:row>
      <xdr:rowOff>0</xdr:rowOff>
    </xdr:from>
    <xdr:to>
      <xdr:col>99</xdr:col>
      <xdr:colOff>464344</xdr:colOff>
      <xdr:row>10</xdr:row>
      <xdr:rowOff>158070</xdr:rowOff>
    </xdr:to>
    <xdr:sp macro="" textlink="">
      <xdr:nvSpPr>
        <xdr:cNvPr id="180" name="Rectangle: Rounded Corners 179">
          <a:extLst>
            <a:ext uri="{FF2B5EF4-FFF2-40B4-BE49-F238E27FC236}">
              <a16:creationId xmlns:a16="http://schemas.microsoft.com/office/drawing/2014/main" id="{3B07565A-BF88-4F09-8BB4-55248FE93090}"/>
            </a:ext>
          </a:extLst>
        </xdr:cNvPr>
        <xdr:cNvSpPr/>
      </xdr:nvSpPr>
      <xdr:spPr>
        <a:xfrm>
          <a:off x="58521600" y="1231900"/>
          <a:ext cx="2293144" cy="1078820"/>
        </a:xfrm>
        <a:prstGeom prst="roundRect">
          <a:avLst/>
        </a:prstGeom>
        <a:solidFill>
          <a:srgbClr val="CFA7F7"/>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SY028:  Cancer - Oncology Workforce Challenges</a:t>
          </a:r>
        </a:p>
        <a:p>
          <a:pPr marL="0" marR="0" lvl="0" indent="0" algn="ctr" defTabSz="914400" eaLnBrk="1" fontAlgn="auto" latinLnBrk="0" hangingPunct="1">
            <a:lnSpc>
              <a:spcPct val="100000"/>
            </a:lnSpc>
            <a:spcBef>
              <a:spcPts val="0"/>
            </a:spcBef>
            <a:spcAft>
              <a:spcPts val="0"/>
            </a:spcAft>
            <a:buClrTx/>
            <a:buSzTx/>
            <a:buFontTx/>
            <a:buNone/>
            <a:tabLst/>
            <a:defRPr/>
          </a:pPr>
          <a:r>
            <a:rPr lang="en-GB" sz="1100" b="1" baseline="0">
              <a:solidFill>
                <a:srgbClr val="FF0000"/>
              </a:solidFill>
              <a:effectLst/>
              <a:latin typeface="+mn-lt"/>
              <a:ea typeface="+mn-ea"/>
              <a:cs typeface="+mn-cs"/>
            </a:rPr>
            <a:t>Accountable</a:t>
          </a:r>
          <a:endParaRPr lang="en-GB" b="1">
            <a:solidFill>
              <a:srgbClr val="FF0000"/>
            </a:solidFill>
            <a:effectLst/>
          </a:endParaRPr>
        </a:p>
        <a:p>
          <a:pPr algn="ctr"/>
          <a:endParaRPr lang="en-GB" sz="1100" b="1">
            <a:solidFill>
              <a:srgbClr val="00B050"/>
            </a:solidFill>
          </a:endParaRPr>
        </a:p>
      </xdr:txBody>
    </xdr:sp>
    <xdr:clientData/>
  </xdr:twoCellAnchor>
  <xdr:twoCellAnchor>
    <xdr:from>
      <xdr:col>97</xdr:col>
      <xdr:colOff>190272</xdr:colOff>
      <xdr:row>9</xdr:row>
      <xdr:rowOff>34019</xdr:rowOff>
    </xdr:from>
    <xdr:to>
      <xdr:col>98</xdr:col>
      <xdr:colOff>172809</xdr:colOff>
      <xdr:row>10</xdr:row>
      <xdr:rowOff>70002</xdr:rowOff>
    </xdr:to>
    <xdr:sp macro="" textlink="">
      <xdr:nvSpPr>
        <xdr:cNvPr id="181" name="Rectangle 180">
          <a:extLst>
            <a:ext uri="{FF2B5EF4-FFF2-40B4-BE49-F238E27FC236}">
              <a16:creationId xmlns:a16="http://schemas.microsoft.com/office/drawing/2014/main" id="{2BB17A29-5842-4CD8-96D8-A83EE52AAD80}"/>
            </a:ext>
          </a:extLst>
        </xdr:cNvPr>
        <xdr:cNvSpPr/>
      </xdr:nvSpPr>
      <xdr:spPr>
        <a:xfrm>
          <a:off x="59321472" y="2002519"/>
          <a:ext cx="592137" cy="22013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16</a:t>
          </a:r>
        </a:p>
      </xdr:txBody>
    </xdr:sp>
    <xdr:clientData/>
  </xdr:twoCellAnchor>
  <xdr:twoCellAnchor>
    <xdr:from>
      <xdr:col>91</xdr:col>
      <xdr:colOff>0</xdr:colOff>
      <xdr:row>7</xdr:row>
      <xdr:rowOff>0</xdr:rowOff>
    </xdr:from>
    <xdr:to>
      <xdr:col>95</xdr:col>
      <xdr:colOff>87313</xdr:colOff>
      <xdr:row>11</xdr:row>
      <xdr:rowOff>116300</xdr:rowOff>
    </xdr:to>
    <xdr:sp macro="" textlink="">
      <xdr:nvSpPr>
        <xdr:cNvPr id="182" name="Rectangle: Rounded Corners 181">
          <a:extLst>
            <a:ext uri="{FF2B5EF4-FFF2-40B4-BE49-F238E27FC236}">
              <a16:creationId xmlns:a16="http://schemas.microsoft.com/office/drawing/2014/main" id="{EC55FAF6-846B-492A-890D-73E9CC3F1E5C}"/>
            </a:ext>
          </a:extLst>
        </xdr:cNvPr>
        <xdr:cNvSpPr/>
      </xdr:nvSpPr>
      <xdr:spPr>
        <a:xfrm>
          <a:off x="55473600" y="1600200"/>
          <a:ext cx="2525713" cy="852900"/>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SY0106:</a:t>
          </a:r>
          <a:r>
            <a:rPr lang="en-GB" sz="1100" b="1" baseline="0">
              <a:solidFill>
                <a:schemeClr val="tx1"/>
              </a:solidFill>
            </a:rPr>
            <a:t>  Trauma Resilience Service</a:t>
          </a: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92</xdr:col>
      <xdr:colOff>384023</xdr:colOff>
      <xdr:row>9</xdr:row>
      <xdr:rowOff>133419</xdr:rowOff>
    </xdr:from>
    <xdr:to>
      <xdr:col>93</xdr:col>
      <xdr:colOff>315596</xdr:colOff>
      <xdr:row>10</xdr:row>
      <xdr:rowOff>149185</xdr:rowOff>
    </xdr:to>
    <xdr:sp macro="" textlink="">
      <xdr:nvSpPr>
        <xdr:cNvPr id="183" name="Rectangle 182">
          <a:extLst>
            <a:ext uri="{FF2B5EF4-FFF2-40B4-BE49-F238E27FC236}">
              <a16:creationId xmlns:a16="http://schemas.microsoft.com/office/drawing/2014/main" id="{0CABDEDC-8E9D-4F7E-B4F7-5AC929B75621}"/>
            </a:ext>
          </a:extLst>
        </xdr:cNvPr>
        <xdr:cNvSpPr/>
      </xdr:nvSpPr>
      <xdr:spPr>
        <a:xfrm>
          <a:off x="56467223" y="2101919"/>
          <a:ext cx="541173" cy="19991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4</a:t>
          </a:r>
        </a:p>
      </xdr:txBody>
    </xdr:sp>
    <xdr:clientData/>
  </xdr:twoCellAnchor>
  <xdr:twoCellAnchor>
    <xdr:from>
      <xdr:col>66</xdr:col>
      <xdr:colOff>23813</xdr:colOff>
      <xdr:row>5</xdr:row>
      <xdr:rowOff>23813</xdr:rowOff>
    </xdr:from>
    <xdr:to>
      <xdr:col>69</xdr:col>
      <xdr:colOff>476250</xdr:colOff>
      <xdr:row>10</xdr:row>
      <xdr:rowOff>111127</xdr:rowOff>
    </xdr:to>
    <xdr:sp macro="" textlink="">
      <xdr:nvSpPr>
        <xdr:cNvPr id="184" name="Rectangle: Rounded Corners 183">
          <a:extLst>
            <a:ext uri="{FF2B5EF4-FFF2-40B4-BE49-F238E27FC236}">
              <a16:creationId xmlns:a16="http://schemas.microsoft.com/office/drawing/2014/main" id="{C533C7B0-CBE6-4009-9A11-2410320C38AA}"/>
            </a:ext>
          </a:extLst>
        </xdr:cNvPr>
        <xdr:cNvSpPr/>
      </xdr:nvSpPr>
      <xdr:spPr>
        <a:xfrm>
          <a:off x="40257413" y="1255713"/>
          <a:ext cx="2281237" cy="1008064"/>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SY063:</a:t>
          </a:r>
          <a:r>
            <a:rPr lang="en-GB" sz="1100" b="1" baseline="0">
              <a:solidFill>
                <a:schemeClr val="tx1"/>
              </a:solidFill>
            </a:rPr>
            <a:t>  UTC Centre National Requirements, Sheffield </a:t>
          </a:r>
          <a:r>
            <a:rPr lang="en-GB" sz="1100" b="1" baseline="0">
              <a:solidFill>
                <a:srgbClr val="FF0000"/>
              </a:solidFill>
            </a:rPr>
            <a:t>Accountable</a:t>
          </a:r>
          <a:endParaRPr lang="en-GB" sz="1100" b="1">
            <a:solidFill>
              <a:srgbClr val="FF0000"/>
            </a:solidFill>
          </a:endParaRPr>
        </a:p>
      </xdr:txBody>
    </xdr:sp>
    <xdr:clientData/>
  </xdr:twoCellAnchor>
  <xdr:twoCellAnchor>
    <xdr:from>
      <xdr:col>67</xdr:col>
      <xdr:colOff>301436</xdr:colOff>
      <xdr:row>8</xdr:row>
      <xdr:rowOff>177050</xdr:rowOff>
    </xdr:from>
    <xdr:to>
      <xdr:col>68</xdr:col>
      <xdr:colOff>171979</xdr:colOff>
      <xdr:row>10</xdr:row>
      <xdr:rowOff>82349</xdr:rowOff>
    </xdr:to>
    <xdr:sp macro="" textlink="">
      <xdr:nvSpPr>
        <xdr:cNvPr id="185" name="Rectangle 184">
          <a:extLst>
            <a:ext uri="{FF2B5EF4-FFF2-40B4-BE49-F238E27FC236}">
              <a16:creationId xmlns:a16="http://schemas.microsoft.com/office/drawing/2014/main" id="{2C513B3B-11BC-4362-9BFD-C027898980C2}"/>
            </a:ext>
          </a:extLst>
        </xdr:cNvPr>
        <xdr:cNvSpPr/>
      </xdr:nvSpPr>
      <xdr:spPr>
        <a:xfrm>
          <a:off x="41144636" y="1961400"/>
          <a:ext cx="480143" cy="273599"/>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86</xdr:col>
      <xdr:colOff>111125</xdr:colOff>
      <xdr:row>5</xdr:row>
      <xdr:rowOff>0</xdr:rowOff>
    </xdr:from>
    <xdr:to>
      <xdr:col>89</xdr:col>
      <xdr:colOff>484188</xdr:colOff>
      <xdr:row>10</xdr:row>
      <xdr:rowOff>150814</xdr:rowOff>
    </xdr:to>
    <xdr:sp macro="" textlink="">
      <xdr:nvSpPr>
        <xdr:cNvPr id="186" name="Rectangle: Rounded Corners 185">
          <a:extLst>
            <a:ext uri="{FF2B5EF4-FFF2-40B4-BE49-F238E27FC236}">
              <a16:creationId xmlns:a16="http://schemas.microsoft.com/office/drawing/2014/main" id="{CB219702-7B96-44A5-8020-6D307D603DFF}"/>
            </a:ext>
          </a:extLst>
        </xdr:cNvPr>
        <xdr:cNvSpPr/>
      </xdr:nvSpPr>
      <xdr:spPr>
        <a:xfrm>
          <a:off x="52536725" y="1231900"/>
          <a:ext cx="2201863" cy="1071564"/>
        </a:xfrm>
        <a:prstGeom prst="roundRect">
          <a:avLst/>
        </a:prstGeom>
        <a:solidFill>
          <a:schemeClr val="accent2">
            <a:lumMod val="40000"/>
            <a:lumOff val="60000"/>
          </a:schemeClr>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n-GB" sz="1100" b="1">
              <a:latin typeface="+mn-lt"/>
            </a:rPr>
            <a:t>SY128: Paediatric Hearing</a:t>
          </a:r>
          <a:r>
            <a:rPr lang="en-GB" sz="1100" b="1" baseline="0">
              <a:latin typeface="+mn-lt"/>
            </a:rPr>
            <a:t> Services</a:t>
          </a:r>
        </a:p>
        <a:p>
          <a:pPr marL="0" marR="0" lvl="0" indent="0" algn="ctr" defTabSz="914400" eaLnBrk="1" fontAlgn="auto" latinLnBrk="0" hangingPunct="1">
            <a:lnSpc>
              <a:spcPct val="100000"/>
            </a:lnSpc>
            <a:spcBef>
              <a:spcPts val="0"/>
            </a:spcBef>
            <a:spcAft>
              <a:spcPts val="0"/>
            </a:spcAft>
            <a:buClrTx/>
            <a:buSzTx/>
            <a:buFontTx/>
            <a:buNone/>
            <a:tabLst/>
            <a:defRPr/>
          </a:pPr>
          <a:r>
            <a:rPr lang="en-GB" sz="1100" b="1" baseline="0">
              <a:solidFill>
                <a:srgbClr val="FF0000"/>
              </a:solidFill>
              <a:effectLst/>
              <a:latin typeface="+mn-lt"/>
              <a:ea typeface="+mn-ea"/>
              <a:cs typeface="+mn-cs"/>
            </a:rPr>
            <a:t>Accountable</a:t>
          </a:r>
          <a:endParaRPr lang="en-GB" sz="1100">
            <a:solidFill>
              <a:srgbClr val="FF0000"/>
            </a:solidFill>
            <a:effectLst/>
            <a:latin typeface="+mn-lt"/>
          </a:endParaRPr>
        </a:p>
        <a:p>
          <a:pPr algn="ctr"/>
          <a:endParaRPr lang="en-GB" sz="900" b="1"/>
        </a:p>
      </xdr:txBody>
    </xdr:sp>
    <xdr:clientData/>
  </xdr:twoCellAnchor>
  <xdr:twoCellAnchor>
    <xdr:from>
      <xdr:col>87</xdr:col>
      <xdr:colOff>350834</xdr:colOff>
      <xdr:row>8</xdr:row>
      <xdr:rowOff>89123</xdr:rowOff>
    </xdr:from>
    <xdr:to>
      <xdr:col>88</xdr:col>
      <xdr:colOff>237999</xdr:colOff>
      <xdr:row>9</xdr:row>
      <xdr:rowOff>164566</xdr:rowOff>
    </xdr:to>
    <xdr:sp macro="" textlink="">
      <xdr:nvSpPr>
        <xdr:cNvPr id="187" name="Rectangle 186">
          <a:extLst>
            <a:ext uri="{FF2B5EF4-FFF2-40B4-BE49-F238E27FC236}">
              <a16:creationId xmlns:a16="http://schemas.microsoft.com/office/drawing/2014/main" id="{8FEAAFF8-0351-4775-88A6-FE7AB0536849}"/>
            </a:ext>
          </a:extLst>
        </xdr:cNvPr>
        <xdr:cNvSpPr/>
      </xdr:nvSpPr>
      <xdr:spPr>
        <a:xfrm>
          <a:off x="53386034" y="1873473"/>
          <a:ext cx="496765" cy="259593"/>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twoCellAnchor>
    <xdr:from>
      <xdr:col>101</xdr:col>
      <xdr:colOff>55562</xdr:colOff>
      <xdr:row>5</xdr:row>
      <xdr:rowOff>0</xdr:rowOff>
    </xdr:from>
    <xdr:to>
      <xdr:col>104</xdr:col>
      <xdr:colOff>436562</xdr:colOff>
      <xdr:row>10</xdr:row>
      <xdr:rowOff>159582</xdr:rowOff>
    </xdr:to>
    <xdr:sp macro="" textlink="">
      <xdr:nvSpPr>
        <xdr:cNvPr id="188" name="Rectangle: Rounded Corners 187">
          <a:extLst>
            <a:ext uri="{FF2B5EF4-FFF2-40B4-BE49-F238E27FC236}">
              <a16:creationId xmlns:a16="http://schemas.microsoft.com/office/drawing/2014/main" id="{FCFECAE8-EB4B-43B3-AF5E-1ACEED921B1B}"/>
            </a:ext>
          </a:extLst>
        </xdr:cNvPr>
        <xdr:cNvSpPr/>
      </xdr:nvSpPr>
      <xdr:spPr>
        <a:xfrm>
          <a:off x="61625162" y="1231900"/>
          <a:ext cx="2209800" cy="1080332"/>
        </a:xfrm>
        <a:prstGeom prst="roundRect">
          <a:avLst/>
        </a:prstGeom>
        <a:solidFill>
          <a:schemeClr val="accent5">
            <a:lumMod val="40000"/>
            <a:lumOff val="6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SY091:  Corporate ICB Capacity</a:t>
          </a:r>
          <a:endParaRPr lang="en-GB" sz="1100" b="1" baseline="0">
            <a:solidFill>
              <a:schemeClr val="tx1"/>
            </a:solidFill>
          </a:endParaRPr>
        </a:p>
        <a:p>
          <a:pPr algn="ctr"/>
          <a:r>
            <a:rPr lang="en-GB" sz="1100" b="1" baseline="0">
              <a:solidFill>
                <a:srgbClr val="FF0000"/>
              </a:solidFill>
            </a:rPr>
            <a:t>Accountable</a:t>
          </a:r>
          <a:endParaRPr lang="en-GB" sz="1100" b="1">
            <a:solidFill>
              <a:srgbClr val="FF0000"/>
            </a:solidFill>
          </a:endParaRPr>
        </a:p>
      </xdr:txBody>
    </xdr:sp>
    <xdr:clientData/>
  </xdr:twoCellAnchor>
  <xdr:twoCellAnchor>
    <xdr:from>
      <xdr:col>102</xdr:col>
      <xdr:colOff>268283</xdr:colOff>
      <xdr:row>8</xdr:row>
      <xdr:rowOff>117699</xdr:rowOff>
    </xdr:from>
    <xdr:to>
      <xdr:col>103</xdr:col>
      <xdr:colOff>155447</xdr:colOff>
      <xdr:row>9</xdr:row>
      <xdr:rowOff>125752</xdr:rowOff>
    </xdr:to>
    <xdr:sp macro="" textlink="">
      <xdr:nvSpPr>
        <xdr:cNvPr id="189" name="Rectangle 188">
          <a:extLst>
            <a:ext uri="{FF2B5EF4-FFF2-40B4-BE49-F238E27FC236}">
              <a16:creationId xmlns:a16="http://schemas.microsoft.com/office/drawing/2014/main" id="{E004B9C3-5002-4C78-853A-F07E5A13993F}"/>
            </a:ext>
          </a:extLst>
        </xdr:cNvPr>
        <xdr:cNvSpPr/>
      </xdr:nvSpPr>
      <xdr:spPr>
        <a:xfrm>
          <a:off x="62447483" y="1902049"/>
          <a:ext cx="496764" cy="19220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solidFill>
                <a:schemeClr val="tx1"/>
              </a:solidFill>
            </a:rPr>
            <a:t>12</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nhs.sharepoint.com/sites/msteams_c8abb2-RiskManagement/Shared%20Documents/Risk%20Management/01%20Risk%20Management%20Registers/1.1%20Master%20Copy%20-%20All%20Registers/Master%20Copy%20-%20Corporate%20Risk%20Register%20Issues%20Log%20BAF%20(clean).xlsx" TargetMode="External"/><Relationship Id="rId2" Type="http://schemas.microsoft.com/office/2019/04/relationships/externalLinkLongPath" Target="https://nhs.sharepoint.com/sites/msteams_c8abb2-RiskManagement/Shared%20Documents/Risk%20Management/01%20Risk%20Management%20Registers/1.1%20Master%20Copy%20-%20All%20Registers/Master%20Copy%20-%20Corporate%20Risk%20Register%20Issues%20Log%20BAF%20(clean).xlsx?A4D18DFB" TargetMode="External"/><Relationship Id="rId1" Type="http://schemas.openxmlformats.org/officeDocument/2006/relationships/externalLinkPath" Target="file:///\\A4D18DFB\Master%20Copy%20-%20Corporate%20Risk%20Register%20Issues%20Log%20BAF%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3a. Heat Map"/>
      <sheetName val="5 BAF"/>
      <sheetName val="8. Organogram"/>
      <sheetName val="10. Open Risks"/>
      <sheetName val="14. Issues Log"/>
    </sheetNames>
    <sheetDataSet>
      <sheetData sheetId="0" refreshError="1"/>
      <sheetData sheetId="1">
        <row r="4">
          <cell r="A4" t="str">
            <v>0.2.</v>
          </cell>
          <cell r="B4" t="str">
            <v xml:space="preserve">Risk mitigation plans are in place at Doncaster Royal Infirmary (DRI) for a not-fit-for-purpose estate, to avoid a range of significant estates failures which may disrupt service provision and/or require short-notice evacuation of patients. Failure to plan effectively for this will see adverse clinical impacts for patients being evacuated, patients, staff and equipment affected by displacement across the whole health system, and long-term disruption to healthcare systems in accommodating displaced services due to the loss of all or part of the DRI site. </v>
          </cell>
          <cell r="C4" t="str">
            <v>Sarah Perkins
Director of Transformation and Delivery</v>
          </cell>
          <cell r="D4" t="str">
            <v>Helena Charlton
Ailsa Leighton</v>
          </cell>
          <cell r="E4" t="str">
            <v xml:space="preserve">Audit and Risk Committee
</v>
          </cell>
          <cell r="F4" t="str">
            <v>Responsible</v>
          </cell>
          <cell r="G4" t="str">
            <v>BAF 2023/ LHRP Risk Register/SYICB Issue Log</v>
          </cell>
          <cell r="H4" t="str">
            <v>IL18</v>
          </cell>
          <cell r="I4" t="str">
            <v>1. Risk summits and workshops have taken place with partners, both to understand the risks better and plan for mitigations.  
2. Work also continues to take place at DRI to put in improved electrical infrastructure, upgrade roofing and replaced windows, and improve fire precautions, subject to successful funding bids. 
3. Evacuation plans are being updated and tested both at Trust and ICB level.  
4. DBTH now has a published evacuation plan and associated action cards which were exercised as part of Exercise Blue Hammer in 2025 (4 Sept) and Blue Phantom (9 Sept), as well as the wider response from multi-agency partners including local authorities, emergency (blue-light) services, other NHS providers and wider regional NHS partners.  
5. The ICB will continue to support the Trust with further internal and external exercising where appropriate, as well as continuing to train on-call and other key staff on the ICB's own role in a hospital evacuation.
6. The Trust will also update the ICB, NHSE and SY system partners via the quarterly LHRP meetings with a timeline of expected works taking place at the DRI and how far these may mitigate the risk once completed - however these are only partial mitigations in the absence of a new hospital building.</v>
          </cell>
          <cell r="J4" t="str">
            <v xml:space="preserve">1) DRI's own plan now in place and being refined further, ICB EPRR colleagues have been consulted on the plan as it stands.  
2)The plan continues to be tested progressively with individual teams/wards, with requirements of ICB and SY partner involvement continually reviewed against these local requirements.  September 2025 exercise saw excellent engagement from partners, however the plan was still very new for DBTH staff.
</v>
          </cell>
          <cell r="K4" t="str">
            <v>Learning to be reviewed from September exercises and further support to be provided accordingly, including (as previously noted) support to further exercises as organisational change processes allow.  A summary of the exercise report was shared at the Local Health Resilience Partnership (LHRP) in January 2026, and the exercise report when signed off by internal DBTH groups shared in full in April 2026 with the LHRP.</v>
          </cell>
          <cell r="L4" t="str">
            <v>5 x 5 = 25</v>
          </cell>
          <cell r="M4" t="str">
            <v xml:space="preserve">1.Evacuation Plan is not fully embedded
2.Staff awareness and training are still being rolled out
3.Effectiveness is not yet validated
</v>
          </cell>
          <cell r="N4" t="str">
            <v>Site evacuation plans for DRI are not yet fully tested and more risks may yet be identified
From experience of managing similar risks at similar trusts, it is likely that further estates issues will come to light during mitigation works</v>
          </cell>
          <cell r="O4" t="str">
            <v>In order to reduce the risk the estate at DRI would require significant investment and the hospital is not currently on the programme for a new build.  The risk of (a) clinical patient and service impacts will be reduced by effective evacuation planning, and (b) of an estates failure causing this disruption - this will ultimately be met by a new hospital building, however incremental building improvements are scheduled in a rolling programme already under way which will reduce the estates risk as far as possible in the meantime.September 2025 exercises showed a reassuring willingness from partners to support, but impacts will still be very dependent on the circumstances of a specific evacuation incident and existing pressures in the surrounding health and care systems.  Clinical transportation of bed-bound patients remains a significant issue.</v>
          </cell>
          <cell r="P4" t="str">
            <v>5 x 5 = 25</v>
          </cell>
          <cell r="Q4" t="str">
            <v>Medium</v>
          </cell>
          <cell r="R4" t="str">
            <v>Estates risk cannot be mitigated without replacing the affected buildings; however patient risks from an unplanned evacuation due to estates issues can be reduced by ensuring any evacuation is as smooth and swift as possible, and progress being maintained in the planned estates remediation programmes.</v>
          </cell>
          <cell r="S4" t="str">
            <v>1) Continue to embed the Evacuation Plan across DBTH and ICB sites throughout 2026.
2) Deliver mandatory evacuation training to all On-Call and relevant staff by end of Q2 2026, though uptake may be affected by organisational change.
3) Continue tabletop exercises and live evacuation drills at DBTH and ICB sites throughout 2026, capturing lessons learned and update the evacuation plan accordingly. Learning from these exercises to be taken forward by the ICB, DBHFT, and LHRP.
4)  Standing agenda item for updates from DBHFT to be provided to the LHRP until the risk is mitigated</v>
          </cell>
          <cell r="T4" t="str">
            <v>December 2025 - DBTH now has an evacuation plan in place, but it is still very new and staff awareness and training is in the process of being rolled out with further testing to come - it may take a year or so to fully embed.  At the ICB, as of 21/12/25 only 39% of On-Call staff have undertaken the specific Evacuation training session, this will be continued in early 2026 though uptake is likely to be affected by organisational change for at least the first six months.</v>
          </cell>
          <cell r="U4" t="str">
            <v>No</v>
          </cell>
          <cell r="V4" t="str">
            <v>21/10/2024
29/10/2024
24/11/2024
02/12/2024
09/12/2024
23/12/2024
30/12/2024
20/01/2025
27/01/2025
03/02/2025
10/02/2025
17/02/2025
24/02/2025
17/03/2025
27/03/2025
07/04/2025
14/04/2025
24/04/2025
25/04/2025
28/04/2025
06/05/2025
19/05/2025
09/06/2025
20/06/2025
30/06/2025
07/07/2025
14/07/2025
28/07/2025
18/08/2025
30/08/2025
08/09/2025
22/09/2025
25/09/2025
21/10/2025
24/11/2025
15/12/2025
29/12/2025
05/01/2026
19/01/2026
26/01/2026
02/02/2026
23/02/2026
02/03/2026
23/03/2026
30/03/2026</v>
          </cell>
          <cell r="W4">
            <v>46118</v>
          </cell>
          <cell r="X4" t="str">
            <v>Weekly</v>
          </cell>
          <cell r="Y4" t="str">
            <v>Not overdue</v>
          </cell>
          <cell r="AA4" t="str">
            <v>EPRR - DRI Estates Update</v>
          </cell>
          <cell r="AB4" t="str">
            <v xml:space="preserve"> </v>
          </cell>
        </row>
        <row r="5">
          <cell r="A5" t="str">
            <v>Objective 1: Improve Outcomes in Population Health and Healthcare -
 Executive Leads - Chief Medical Officer / Chief Nursing Officer</v>
          </cell>
          <cell r="L5" t="str">
            <v xml:space="preserve">Risk Appetite
9 </v>
          </cell>
          <cell r="P5" t="str">
            <v xml:space="preserve">Risk Appetite
9 </v>
          </cell>
        </row>
        <row r="6">
          <cell r="A6" t="str">
            <v>1.1.</v>
          </cell>
          <cell r="B6" t="str">
            <v xml:space="preserve">The ICB commissions high quality, continually improving cost effective healthcare which meets the need of the population of SY:
</v>
          </cell>
          <cell r="C6" t="str">
            <v>Cathy Winfield  
Chief Nursing Officer</v>
          </cell>
          <cell r="D6" t="str">
            <v>Alun Windle
Jayne Sivakumar</v>
          </cell>
          <cell r="E6" t="str">
            <v xml:space="preserve">Quality Patient Involvement Experience (QPIE)
</v>
          </cell>
          <cell r="F6" t="str">
            <v>Accountable</v>
          </cell>
          <cell r="G6" t="str">
            <v>South Yorkshire Joint Forward Plan / BAF 2023</v>
          </cell>
          <cell r="H6" t="str">
            <v xml:space="preserve">SY115, SY116, SY117, SY124, SY028, SY082, SY107, SY040, SY066, SY127,  SY128, SY130, IL12, IL13, IL07, IL08, IL19, IL20  </v>
          </cell>
          <cell r="I6" t="str">
            <v xml:space="preserve">1)System Quality Group SY Chief Nurses GroupSafeguarding Boards for Children and Adult
2)Care Homes/Provider Risk Meetings
 3)Safer Stronger Partnership Board (SSPB) membership and sub groups
 4)Quality &amp; Performance Reports
 5)National oversight and benchmarking of key Quality Performance targets
 6) Incident Management Group (IMG)
 7)Serious Incident Reporting
 8)LeDeR Process
 9)Continuing Health Care (CHC) capacity and capability
 10)Complaints and enquiries Process
 11)Patient experience and engagement Process
 12)Integrated Performance Report
 13)System Coordination Centre
</v>
          </cell>
          <cell r="J6" t="str">
            <v>1) QPPIE Committee
2) 4 Place Committees
3) PLACE Quality oversight partnership
4) Developing Safeguarding Oversight Framework and Group
5) Audit and Risk Committee.</v>
          </cell>
          <cell r="K6" t="str">
            <v>1) NHS Regional Quality Group
2) Regional Mortality Oversight Group
3) CQC
4) Integrated Care Partnership
 5) Quarterly Regional NHS/ICB reviews SEND oversight Reviews
 6) Regional Patient Safety Safeguarding, CHC, CYP Groups
 7) Regional Safeguarding/SEND Heatmaps
 8) Internal Audit reviews of Quality</v>
          </cell>
          <cell r="L6" t="str">
            <v xml:space="preserve">3 x 4 = 12
</v>
          </cell>
          <cell r="M6" t="str">
            <v>No gaps in control identified</v>
          </cell>
          <cell r="N6" t="str">
            <v xml:space="preserve">Dashboards and system working in relation to Quality </v>
          </cell>
          <cell r="O6" t="str">
            <v xml:space="preserve">1) Maturity in Quality, Governance and Oversight models including leadership for delivery
2) Effective system-wide and Place Transformation programmes
3)Targeted and sufficient funding and workforce
4) Workforce redesign to support alignment of models
5) Effective and successful Organisational Redesigned required by the National ICB Running Cost Reduction Programme  Data and information to support and drive quality oversight, assurance and improvement                                                                                           </v>
          </cell>
          <cell r="P6" t="str">
            <v>3 x 3 = 9</v>
          </cell>
          <cell r="Q6" t="str">
            <v xml:space="preserve">Medium </v>
          </cell>
          <cell r="R6" t="str">
            <v>As one of the 4 main aims of the ICB, this is a large focus of all the work undertaken. Challenges exist that are out with our direct control in the wider determinant of health. However as a partner in the ICP we have a responsibility for our own workforce and an opportunity to influence and support wider agendas.</v>
          </cell>
          <cell r="S6" t="str">
            <v>1) ICB QSIR Quality Improvement Methodology Training Programme commenced January 2023 and ongoing rollout in line with NHS IMPACT ambitions to be completed by end of Q4 25/26
2) ICB Transformation PMO review completed and methodology and approach being implemented to be completed by end of Q4 25/26
3) 360 Audit on Quality. Action plan in development  to be completed by end of Q4 25/26
4) Safeguarding Oversight for Health Model in development - briefing to June QIPPE. (Update please)
5) 360 audit completed for safeguarding assurance work plan to be developed from audit findings for presentation to QPIE by end of Q2 25/26
6)  Continue to review of the ICB Quality functions within the context of the organisational change process. Business continuity Plans are in place to maintain core statutory functions during this period of uncertainty whilst organisational change is underway.</v>
          </cell>
          <cell r="T6" t="str">
            <v xml:space="preserve">September 2025 - Operational Plan completed during Q1 25/26 and signed off through the Audit Committee and embedded into the Safeguarding and Oversight Meeting as part of the ICB Governance Structure. Input into the Change NHS work is now complete, with the 10 year plan now published.
</v>
          </cell>
          <cell r="U6" t="str">
            <v>SEND Oversight
Patient, carer and resident engagement</v>
          </cell>
          <cell r="V6" t="str">
            <v>07/08/2024
11/11/2024
10/02/2025
20/05/2025
04/08/2025
29/12/2025
30/03/2026</v>
          </cell>
          <cell r="W6">
            <v>46203</v>
          </cell>
          <cell r="X6" t="str">
            <v>Quarterly</v>
          </cell>
          <cell r="Y6" t="str">
            <v>Not overdue</v>
          </cell>
        </row>
        <row r="7">
          <cell r="A7" t="str">
            <v>1.1.1.</v>
          </cell>
          <cell r="B7" t="str">
            <v>The ICB is maintaining quality, services and outcomes through Improvement and transformation</v>
          </cell>
          <cell r="C7" t="str">
            <v>Cathy Winfield  
Chief Nursing Officer</v>
          </cell>
          <cell r="D7" t="str">
            <v>Alun Windle 
Jayne Sivakumar</v>
          </cell>
          <cell r="E7" t="str">
            <v xml:space="preserve">Quality Performance Patient Involvement Experience (QPPIE)
</v>
          </cell>
          <cell r="F7" t="str">
            <v>Accountable</v>
          </cell>
          <cell r="G7" t="str">
            <v>South Yorkshire Joint Forward Plan</v>
          </cell>
          <cell r="H7" t="str">
            <v>SY115, SY116, SY117, SY124, SY028, SY082, SY107, SY040, SY066, SY127, SY128, IL12, IL13, IL07, IL08, IL19, IL20</v>
          </cell>
          <cell r="I7" t="str">
            <v>1) Developing national quality board strategy
2) Published national quality board guidence
3) NHSE national guidence. 
4) Established Co-design quality groups to synergise the ICB approach to published national quality oversight, assurance and improvement requirments</v>
          </cell>
          <cell r="J7" t="str">
            <v xml:space="preserve">1) Contractual assurances and oversight pocesses for providers delievred in the 4 places across SY. 
2) Reporing to  each place partnership jointy with LA's - reporting to QPIE &amp; SQG. 
</v>
          </cell>
          <cell r="K7" t="str">
            <v xml:space="preserve">1) CQC Inspection and oversight of regulated services. 
2) New system CQC inspections
3) NHSE Regional Oversight, </v>
          </cell>
          <cell r="L7" t="str">
            <v>4 x 4 = 16</v>
          </cell>
          <cell r="M7" t="str">
            <v>Awaiting publication of ICB operating structures / models.</v>
          </cell>
          <cell r="N7" t="str">
            <v xml:space="preserve">The co-designed model has been developed and consulted on.  Board have agreed however implementation has ceased due to recent announcements regarding the recent 50% reduction in running and operating costs had lead to a decision to suspend implementation.
The future roles and responsibilities for ICB and NHSE quality functions are still being scoped out. Consultation and TOM unpublished to further develop mitigations  </v>
          </cell>
          <cell r="O7" t="str">
            <v>Completion of the initial phase of the commenced Co-Design work.
Completion and implementation of the initial phase of the commenced Co-Design work.</v>
          </cell>
          <cell r="P7" t="str">
            <v>4 x 4 = 16</v>
          </cell>
          <cell r="Q7" t="str">
            <v>low</v>
          </cell>
          <cell r="R7" t="str">
            <v xml:space="preserve">Each Place in SY have similar oversight processes however the monitoring of data and analysis is  different .  </v>
          </cell>
          <cell r="S7" t="str">
            <v>1)Review and await the strategic commissioning functions of Integrated Care boards expected to be finalised by Q4 25/26
2)Oversight framework developed and approved by QPPIE in March 2025 in line with the development of the strategic commissioning framework for ICB, implementation currently on hold due to recent government announcement re: running cost reductions, which are expected to be finalised by Q4 25/26
3)Business Continuity Plan for ICB Quality and Safety has been developed. 
4) The Associate Director of Nursing for Patient Safety and IPC is working with NHSE to scope out  the key elements of the future Quality functions - future roles and responsibilities and how SYICB will approach the work. This is nearly completed.  RACI developed.
5) Quality Escalation for cancer services drafted.
6) Time out for Quality and Nursing Leadership arranged for 13 Feb 2026 to look at future model and ways of working.</v>
          </cell>
          <cell r="U7" t="str">
            <v>Delegated direct commissioning</v>
          </cell>
          <cell r="V7" t="str">
            <v>09/10/2024
11/11/2024
07/01/2025
17/03/2025
27/03/2025
20/05/2025
23/06/2025
04/08/2025
08/09/2025
13/10/2025
21/11/2025
22/12/2025
29/01/2026
06/03/2026
16/03/2026</v>
          </cell>
          <cell r="W7">
            <v>46128</v>
          </cell>
          <cell r="X7" t="str">
            <v>Monthly</v>
          </cell>
          <cell r="Y7" t="str">
            <v>Not overdue</v>
          </cell>
        </row>
        <row r="8">
          <cell r="A8" t="str">
            <v>1.1.1 - B</v>
          </cell>
          <cell r="B8" t="str">
            <v>the ICB is maintaining quality, services and outcomes through improvement and transformation failure to meet this may result in the ICB not delivering against agreed objectives and priorities or commissioned services not meeting the needs of the population.</v>
          </cell>
          <cell r="C8" t="str">
            <v>Katie Calvin-Thomas
Barnsley Place Director</v>
          </cell>
          <cell r="D8" t="str">
            <v>Jamie Wike</v>
          </cell>
          <cell r="E8" t="str">
            <v>Quality Performance Patient Involvement Experience (QPPIE) Supported by SY ICB Place Committees</v>
          </cell>
          <cell r="F8" t="str">
            <v>Accountable</v>
          </cell>
          <cell r="G8" t="str">
            <v>South Yorkshire Joint Forward Plan</v>
          </cell>
          <cell r="H8" t="str">
            <v>SY115, SY116, SY117, SY124, SY028, SY082, SY107, SY040, SY066, SY127, SY128, IL12, IL13, IL07, IL08, IL19, IL20</v>
          </cell>
          <cell r="I8" t="str">
            <v>1)Place Partnership Delivery Group
2)Place Partnership Risk Register Framework
3)Performance and Quality Reports
4)Contract Management Arrangements
5)Finance and Performance Group
6)PMO Arrangements and use of QSIR
7)Place Plan - Clear priorities and delivery plans
8)Transformation Priorities for Place Partnership
9)Transformation and Delivery Work Programme
10) SY Programmes and links to provider collaboratives improvement programmes</v>
          </cell>
          <cell r="J8" t="str">
            <v xml:space="preserve">1) Place Partnership Board and Place Committee
2) Place Quality and Patient Safety Group
3) SY QPIE
</v>
          </cell>
          <cell r="K8" t="str">
            <v>1) Integrated Care Partnership
2) CQC Inspection and oversight of regulated services
3) NHSE Regional Oversight</v>
          </cell>
          <cell r="L8" t="str">
            <v>3 x 3 = 9</v>
          </cell>
          <cell r="M8" t="str">
            <v>No gaps identified</v>
          </cell>
          <cell r="N8" t="str">
            <v>No gaps identified</v>
          </cell>
          <cell r="O8" t="str">
            <v>Robust governance and oversight is in place. Strengthening programme reporting and monitoring of impact to provide assurance.</v>
          </cell>
          <cell r="P8" t="str">
            <v>2 x 3 = 6</v>
          </cell>
          <cell r="Q8" t="str">
            <v xml:space="preserve">Medium </v>
          </cell>
          <cell r="R8" t="str">
            <v xml:space="preserve">Barnsley Place Plan is in place and includes specific deliverables to improve health outcomes and this is supported by an Health Inequalities Plan and an agreed approach to working with local communities to improve outcomes and reduce inequality and inequity.  Delivery is through the Health Equity and Intelligence Group with oversight by the Place Partnership
</v>
          </cell>
          <cell r="S8" t="str">
            <v>No gaps identified, therefore no action required at this time</v>
          </cell>
          <cell r="T8" t="str">
            <v>October 2025 - Place priorities for 2025 onwards have been agreed by the Partnership. Delivery, Performance and Quality updates are provided on a regular basis to the Place Partnership.</v>
          </cell>
          <cell r="U8" t="str">
            <v>Delegated direct commissioning</v>
          </cell>
          <cell r="V8" t="str">
            <v>18/10/2024
11/11/2024
10/02/2025
27/03/2025
30/05/2025
04/07/2025
14/08/2025
18/09/2025
24/10/2025
12/12/2025
12/01/2026
16/01/2026
16/02/2026
27/03/2026</v>
          </cell>
          <cell r="W8">
            <v>46292</v>
          </cell>
          <cell r="X8" t="str">
            <v>Six-Monthly</v>
          </cell>
          <cell r="Y8" t="str">
            <v>Not overdue</v>
          </cell>
        </row>
        <row r="9">
          <cell r="A9" t="str">
            <v>1.1.1 - D</v>
          </cell>
          <cell r="B9" t="str">
            <v xml:space="preserve">
the ICB is maintaining quality, services and outcomes through Improvement and transformation</v>
          </cell>
          <cell r="C9" t="str">
            <v xml:space="preserve">Anthony Fitzgerald
Doncaster / Rotherham Place Director
</v>
          </cell>
          <cell r="D9" t="str">
            <v>Ailsa Leighton</v>
          </cell>
          <cell r="E9" t="str">
            <v>Quality Performance Patient Involvement Experience (QPPIE) Supported by SY ICB Place Committees</v>
          </cell>
          <cell r="F9" t="str">
            <v>Accountable</v>
          </cell>
          <cell r="G9" t="str">
            <v>South Yorkshire Joint Forward Plan</v>
          </cell>
          <cell r="H9" t="str">
            <v>SY115, SY116, SY117, SY124, SY028, SY082, SY107, SY040, SY066, SY127, SY128, IL12, IL13, IL07, IL08, IL19, IL20</v>
          </cell>
          <cell r="I9" t="str">
            <v xml:space="preserve">1)Doncaster Place Committee
2) Place Committee Risk Register
3) Place Clinical Reference Group
4) local Clinical Quality Review Groups for DBHFT and RDASH Contracts </v>
          </cell>
          <cell r="J9" t="str">
            <v xml:space="preserve">1) Doncaster QIPP Board and PMO arrangements
2) SY QPIE
3) Quarterly review meetings with place and SY ICB; </v>
          </cell>
          <cell r="K9" t="str">
            <v xml:space="preserve">1) CQC inspection and oversight of regulated services
2) NHSE Regional oversight
3) Place Scrutiny Committee
4) Place Health &amp; Wellbeing Board </v>
          </cell>
          <cell r="L9" t="str">
            <v>3 x 3 = 9</v>
          </cell>
          <cell r="M9" t="str">
            <v>Gaps in control will be confirmed following partnership forum review.</v>
          </cell>
          <cell r="N9" t="str">
            <v>Gaps in assurance will be confirmed following partnership forum review.</v>
          </cell>
          <cell r="O9" t="str">
            <v>Completion of the review of place based governance, with associated changes enacted in a timely manner</v>
          </cell>
          <cell r="P9" t="str">
            <v>2 x 3 = 6</v>
          </cell>
          <cell r="Q9" t="str">
            <v>Medium</v>
          </cell>
          <cell r="R9" t="str">
            <v xml:space="preserve">Commitment across all Doncaster partners to the development of the 1 Doncaster Plan.  This has been closely aligned with the refreshed Health &amp; Wellbeing Strategy.  2024-25 plans are agreed and being enacted; 5 year plan development is being led by Place Chief Executives.
Local scrutiny committee and Health &amp; Wellbeing Board play a key role in understanding and reviewing the impact of services commissioned </v>
          </cell>
          <cell r="S9" t="str">
            <v>Review of the role of the partnership forum in Doncaster (formerly Place Committee), this is an evolving picture and will continue throughout 2025/6.
A review of the Partnership Forum is to be undertaken once we’ve confirmed the its role, expected by Q4 25/26</v>
          </cell>
          <cell r="T9" t="str">
            <v>September 2025 - Phase 2 of the partnership forum review is underway, a further meeting is scheduled for the 26 September 2025.
March 2026 - the Doncaster partnership forum continues to meet, and work is currently focussed on development of the shared purpose and method, which will then lead onto form.  We are committed to developing a relational approach with learning at its heart.</v>
          </cell>
          <cell r="U9" t="str">
            <v>Delegated direct commissioning</v>
          </cell>
          <cell r="V9" t="str">
            <v>14/10/2024
24/11/2024
28/03/2025
25/09/2025
01/04/2026</v>
          </cell>
          <cell r="W9">
            <v>46204</v>
          </cell>
          <cell r="X9" t="str">
            <v>Six-Monthly</v>
          </cell>
          <cell r="Y9" t="str">
            <v>Not overdue</v>
          </cell>
        </row>
        <row r="10">
          <cell r="A10" t="str">
            <v>1.1.1 - R</v>
          </cell>
          <cell r="B10" t="str">
            <v xml:space="preserve">
the ICB is maintaining quality, services and outcomes through Improvement and transformation</v>
          </cell>
          <cell r="C10" t="str">
            <v xml:space="preserve">Anthony Fitzgerald
Doncaster / Rotherham Place Director
</v>
          </cell>
          <cell r="D10" t="str">
            <v xml:space="preserve">Claire Smith
</v>
          </cell>
          <cell r="E10" t="str">
            <v>Quality Performance Patient Involvement Experience (QPPIE) Supported by SY ICB Place Committees</v>
          </cell>
          <cell r="F10" t="str">
            <v>Accountable</v>
          </cell>
          <cell r="G10" t="str">
            <v>South Yorkshire Joint Forward Plan</v>
          </cell>
          <cell r="H10" t="str">
            <v>SY115, SY116, SY117, SY124, SY028, SY082, SY107, SY040, SY066, SY127, SY128, IL12, IL13, IL07, IL08, IL19, IL20</v>
          </cell>
          <cell r="I10" t="str">
            <v xml:space="preserve">
1) Rotherham Health and Care Place Plan details plans and is overseen by the Rotherham place board and the Health and Wellbeing board. Plan is also signed off by all statutory partners, VAR and Connect Healthcare. 
2) Discussion are taking place sept/Oct 25 regarding new arrangements post ICB model changes and a review of the Plan to reflect new priorities and changing role of ICB. 
3)Plans are forming for the new arrangements including RMBC chief exec is chairing until June and ICB are supporting development of new arrangements </v>
          </cell>
          <cell r="J10" t="str">
            <v xml:space="preserve">1) Rotherham Place Board receives monthly performance and quality reports. 
2)Rotherham place leadership team meets weekly. 
3) Place plan is being revised to align with revision of Health and Wellbeing board, engagement underway - will align to new planning guidance. H&amp;WB strategy has been to last board in November 25 for support further work ongoing re action plan that sits underneath this </v>
          </cell>
          <cell r="K10" t="str">
            <v>1) Quarterly performance meetings between Rotherham place and SYICB. 
2) RMBC health Select committee engage on issues as appropriate</v>
          </cell>
          <cell r="L10" t="str">
            <v>3 x 3 = 9</v>
          </cell>
          <cell r="M10" t="str">
            <v xml:space="preserve">none identified </v>
          </cell>
          <cell r="N10" t="str">
            <v xml:space="preserve">The Rotherham Place Plan focuses on prevention and health inequalities so it needs to implemented over the next 2 years </v>
          </cell>
          <cell r="O10" t="str">
            <v xml:space="preserve">Robust governance is in place. 
Resource (workforce across partnership) to deliver all actions within our Place Plan and Population Health and Inequalities strategy is needed to deliver </v>
          </cell>
          <cell r="P10" t="str">
            <v>2 x 3 = 6</v>
          </cell>
          <cell r="Q10" t="str">
            <v>Medium</v>
          </cell>
          <cell r="R10" t="str">
            <v xml:space="preserve">Alongside the Place Plan there is a strategy and action plan formalised through the population health and inequalities steering group chaired by the Director of Public Health and Deputy Place Director ICB. Assurance on the action plan is via the steering group, Health and Wellbeing Board and Place Board. The plan is being revised alongside strategy (Place Plan). First draft supported at November H&amp;WB board. Place Board working through what will be priorities for partners post April 26. We have agreed model and are supporting to develop new TORS and MOU. </v>
          </cell>
          <cell r="S10" t="str">
            <v xml:space="preserve">1) Implement Rotherham Health and Care plan. ensure that EQIAs are completed for all decisions -  those relating to how we achieve efficiencies required.  These will be done in year to March 26 
2) Work with SY and Place partners on Deloitte's work to ensure that at Place we are have a robust transformation programme that supports demand management/quality provision by end of 2026. 
3) Work with partners to understand how Place arrangements could be maintained in a new landscape given changes to ICBs by January 2026
</v>
          </cell>
          <cell r="U10" t="str">
            <v>Delegated direct commissioning</v>
          </cell>
          <cell r="V10" t="str">
            <v>07/10/2024
11/11/2024
16/12/2024
06/01/2025
03/03/2025
04/04/2025
06/05/2025
10/06/2025
14/07/2025
18/08/2025
21/08/2025
22/09/2025
01/10/2025
03/11/2025
04/11/2025
08/12/2025
12/01/2026
16/02/2026</v>
          </cell>
          <cell r="W10">
            <v>46250</v>
          </cell>
          <cell r="X10" t="str">
            <v>Six-Monthly</v>
          </cell>
          <cell r="Y10" t="str">
            <v>Not overdue</v>
          </cell>
        </row>
        <row r="11">
          <cell r="A11" t="str">
            <v>1.1.1 - S</v>
          </cell>
          <cell r="B11" t="str">
            <v xml:space="preserve">The ICB is maintaining quality, services and outcomes through Improvement and transformation
</v>
          </cell>
          <cell r="C11" t="str">
            <v>Emma Latimer  
Sheffield Place Director</v>
          </cell>
          <cell r="D11" t="str">
            <v>Ian Atkinson</v>
          </cell>
          <cell r="E11" t="str">
            <v>Quality Performance Patient Involvement Experience (QPPIE) Supported by SY ICB Place Committees</v>
          </cell>
          <cell r="F11" t="str">
            <v>Accountable</v>
          </cell>
          <cell r="G11" t="str">
            <v>South Yorkshire Joint Forward Plan</v>
          </cell>
          <cell r="H11" t="str">
            <v>SY115, SY116, SY117, SY124, SY028, SY082, SY107, SY040, SY066, SY127, SY128, IL12, IL13, IL07, IL08, IL19, IL20</v>
          </cell>
          <cell r="I11" t="str">
            <v xml:space="preserve">1) Sheffield Place governance framework for managing Healthcare Partnership priorities 
2 )Delivery group implementing transformation. 
3) Named SRO are identified and progress is reported routinely. </v>
          </cell>
          <cell r="J11" t="str">
            <v xml:space="preserve">1) Sheffield Place has clear governance framework.  
2) HCP Board meets every 2 months.  
3) Sheffield HCP Board receive priority updates for assurance and deep dives in to topics of high priority.
</v>
          </cell>
          <cell r="K11" t="str">
            <v xml:space="preserve">1) The Sheffield Health and Care partnership board has 6 monthly reviews with the ICB Chief Executive to review performance
2) NHSE have also undertaken monitoring visits in the area of Non-Elective Care and Discharge in the last 6 months.  </v>
          </cell>
          <cell r="L11" t="str">
            <v>3 x 3 = 9</v>
          </cell>
          <cell r="M11" t="str">
            <v>nothing at present</v>
          </cell>
          <cell r="N11" t="str">
            <v>nothing at present</v>
          </cell>
          <cell r="O11" t="str">
            <v>Robust governance in place.</v>
          </cell>
          <cell r="P11" t="str">
            <v>2 x 3 = 6</v>
          </cell>
          <cell r="Q11" t="str">
            <v>Medium</v>
          </cell>
          <cell r="R11" t="str">
            <v>Place Plan</v>
          </cell>
          <cell r="S11" t="str">
            <v xml:space="preserve">Implement Sheffield Place Plan and associated agreed place priorities 
</v>
          </cell>
          <cell r="T11" t="str">
            <v xml:space="preserve">September 2025 - Each priority is reviewed at the HCP board bi-monthly </v>
          </cell>
          <cell r="U11" t="str">
            <v>Delegated direct commissioning</v>
          </cell>
          <cell r="V11" t="str">
            <v>25/09/2024
02/12/2024
06/01/2025
24/03/2025
12/05/2025
23/06/2025
17/09/2025
24/11/2025
23/02/2026</v>
          </cell>
          <cell r="W11">
            <v>46257</v>
          </cell>
          <cell r="X11" t="str">
            <v>Six-Monthly</v>
          </cell>
          <cell r="Y11" t="str">
            <v>Not overdue</v>
          </cell>
        </row>
        <row r="12">
          <cell r="A12" t="str">
            <v>1.2.</v>
          </cell>
          <cell r="B12" t="str">
            <v>Effective arrangements and processes are in place to mitigate risk caused by deterioration in the quality of patient care and safety potentially resulting in patient harm, experience and reduced outcomes.</v>
          </cell>
          <cell r="C12" t="str">
            <v>Cathy Winfield  
Chief Nursing Officer</v>
          </cell>
          <cell r="D12" t="str">
            <v>Alun Windle</v>
          </cell>
          <cell r="E12" t="str">
            <v xml:space="preserve">Quality Performance Patient Involvement Experience (QPPIE)
</v>
          </cell>
          <cell r="F12" t="str">
            <v>Accountable</v>
          </cell>
          <cell r="G12" t="str">
            <v>South Yorkshire Joint Forward Plan</v>
          </cell>
          <cell r="H12" t="str">
            <v>SY028, SY040, SY066, SY107, SY108, SY124, SY127, SY128, IL07, IL12, IL13, IL17</v>
          </cell>
          <cell r="I12" t="str">
            <v>1) Developing national quality board strategy
2) Published national quality board guidence
3) NHSE national guidence. 
4) Established Co-design quality groups to synergise the ICB approach to published national quality oversight, assurance and improvement requirments.</v>
          </cell>
          <cell r="J12" t="str">
            <v xml:space="preserve">1) Contractual assurances and oversight pocesses for providers delievred in the 4 places across SY. 
2) Reporing to  each place partnership jointy with LA's - Reporting to QPPIE &amp; SQG. </v>
          </cell>
          <cell r="K12" t="str">
            <v>1) CQC Inspection and oversight of regulated services. 
2) New system CQC inspections
3) NHSE Regional Oversight</v>
          </cell>
          <cell r="L12" t="str">
            <v>4 x 4 = 16</v>
          </cell>
          <cell r="M12" t="str">
            <v>Implementation of the co-design and Insights work undertaken over the previous 12 months.</v>
          </cell>
          <cell r="N12" t="str">
            <v xml:space="preserve">A single system approach to data monitoring, risk oversight and escalation. </v>
          </cell>
          <cell r="O12" t="str">
            <v xml:space="preserve">Agreed policy / procedure for oversight and managinging esculating quality risk </v>
          </cell>
          <cell r="P12" t="str">
            <v>3 x 3 = 9</v>
          </cell>
          <cell r="Q12" t="str">
            <v>low</v>
          </cell>
          <cell r="R12" t="str">
            <v xml:space="preserve">A difference in each place risk appetite , unpublished TOM and Consultation as a system approach </v>
          </cell>
          <cell r="S12" t="str">
            <v>1)Review and await the strategic commissioning functions of Integrated Care boards expected to be finalised by Q4 25/26
2)Oversight framework developed and approved by QPPIE in March 2025 in line with the development of the strategic commissioning framework for ICB, implementation currently on hold due to recent government announcement re: running cost reductions, which are expected to be finalised by July 26</v>
          </cell>
          <cell r="U12" t="str">
            <v>Delegation to Place</v>
          </cell>
          <cell r="V12" t="str">
            <v>09/10/2024
07/01/2025
27/03/2025
23/06/2025
08/09/2025
21/11/2025
28/01/2026
06/03/2026</v>
          </cell>
          <cell r="W12">
            <v>46148</v>
          </cell>
          <cell r="X12" t="str">
            <v>Quarterly</v>
          </cell>
          <cell r="Y12" t="str">
            <v>Not overdue</v>
          </cell>
        </row>
        <row r="13">
          <cell r="A13" t="str">
            <v>1.3 - B</v>
          </cell>
          <cell r="B13" t="str">
            <v xml:space="preserve">The local healthcare system is sustainable, accessible and reactive to change, through the development and implementation of effective Local Place Partnerships and Plans failure to meet this may result in the needs of local population not being met and increasing inequalities occuring across the ICB
</v>
          </cell>
          <cell r="C13" t="str">
            <v>Katie Calvin-Thomas
Barnsley Place Director</v>
          </cell>
          <cell r="D13" t="str">
            <v>Jamie Wike</v>
          </cell>
          <cell r="E13" t="str">
            <v>Place Committee
System Leaders Executive</v>
          </cell>
          <cell r="F13" t="str">
            <v>Accountable</v>
          </cell>
          <cell r="G13" t="str">
            <v>South Yorkshire Joint Forward Plan / BAF 2023</v>
          </cell>
          <cell r="H13" t="str">
            <v>SY082, SY028,  SY069, SY040</v>
          </cell>
          <cell r="I13" t="str">
            <v>1) Development and implementation of effective system-wide and Place Operational Plans and Transformation Plans
2)  Effective delivery management processes at place including internal ICB escalation
3) Effective and responsive complaints and enquiries processes
4) Patient experience and engagement process
5) Integrated Care Strategy
6) Joint Froward Plan
7)  EPRR
8) NHS England/SY ICB Assurance MOU
9) Audit of Place governance completed</v>
          </cell>
          <cell r="J13" t="str">
            <v>1) ICB Place Committees
2) ICB Exec meeting
3) Operational Executive
4) Board Sub Committee review
5) ICB IMprovement &amp; Value meeting
6) SY PMO</v>
          </cell>
          <cell r="K13" t="str">
            <v>1) Local Health and Welbeing Boards
2) NHSE Single Oversight Framework
3) NHSE Assurance process
4) CQC reviews</v>
          </cell>
          <cell r="L13" t="str">
            <v xml:space="preserve">3 x 4 = 12
</v>
          </cell>
          <cell r="M13" t="str">
            <v>Ability to shift focus and resource towards prevention from secondary treatment.
Sufficient funding and workforce.</v>
          </cell>
          <cell r="N13" t="str">
            <v>There is a requirement for more detailed data and metrics to support the measurement of the impact of transformation and improvement programmes</v>
          </cell>
          <cell r="O13" t="str">
            <v>1) Greater certainty of finances and resources to provide planned services
2) Conclusion of organisational change/cost reduction programme 
3) Medium Term financial strategy ICB</v>
          </cell>
          <cell r="P13" t="str">
            <v>3 x 3 = 9</v>
          </cell>
          <cell r="Q13" t="str">
            <v>Medium</v>
          </cell>
          <cell r="R13" t="str">
            <v>1)2025/26 Operational Plan, including NHSE Assurance Oversight and sign-off - ICB Executive Director Portfolio Objectives
2) Place Transformation and Delivery Plan is in place aligned to ICB transformation priorities.</v>
          </cell>
          <cell r="S13" t="str">
            <v>Work with BI to develop dashboards with key metrics to measure performance and impact of  transformation plans on activity and quality by September 2025
Continue to work with BI to develop dashboards with key metrics to measure performance and impact of  transformation plans on activity and quality through to March 2026.</v>
          </cell>
          <cell r="T13" t="str">
            <v>August 2025 - Agreed our priorities but paused some of the work on the full Place Partnership Plan given the ICB changes and different roles that are emerging so we have priorities but need to establish timeframes.  ICB Transformation Plan is in place</v>
          </cell>
          <cell r="U13" t="str">
            <v>Place Delegation Arrangements and Effectiveness</v>
          </cell>
          <cell r="V13" t="str">
            <v>05/08/2024
11/11/2024
10/02/2025
27/03/2025
30/05/2025
04/07/2025
14/08/2025
18/09/2025
24/10/2025
12/12/2025
12/01/2026
16/02/2026
27/03/2026</v>
          </cell>
          <cell r="W13">
            <v>46200</v>
          </cell>
          <cell r="X13" t="str">
            <v>Quarterly</v>
          </cell>
          <cell r="Y13" t="str">
            <v>Not overdue</v>
          </cell>
        </row>
        <row r="14">
          <cell r="A14" t="str">
            <v>1.3 - D</v>
          </cell>
          <cell r="B14" t="str">
            <v xml:space="preserve">The local healthcare system is sustainable, accessible and reactive to change, through the development and implementation of effective Local Place Partnerships and Plans.
</v>
          </cell>
          <cell r="C14" t="str">
            <v xml:space="preserve">Anthony Fitzgerald
Doncaster / Rotherham Place Director
</v>
          </cell>
          <cell r="D14" t="str">
            <v>Ailsa Leighton</v>
          </cell>
          <cell r="E14" t="str">
            <v>Place Committee
System Leaders Executive</v>
          </cell>
          <cell r="F14" t="str">
            <v>Accountable</v>
          </cell>
          <cell r="G14" t="str">
            <v>South Yorkshire Joint Forward Plan / BAF 2023</v>
          </cell>
          <cell r="H14" t="str">
            <v>SY082, SY028,  SY069, SY040</v>
          </cell>
          <cell r="I14" t="str">
            <v>1) Development and implementation of effective system-wide and Place Operational Plans
2) Effective delivery management processes at place including internal ICB escalation
3) Effective and responsive complaints and enquiries processes
4) Patient experience and engagement process
5) Integrated Care Strategy
6) 5 year ICB Plan
7) EPRR
8) NHS England/SY ICB Assurance MOU</v>
          </cell>
          <cell r="J14" t="str">
            <v>1) ICB Place Committees
2) Operational Executive
3) Board Sub Committee review</v>
          </cell>
          <cell r="K14" t="str">
            <v>1) Local Health and Welbeing Boards
2)  NHSE Single Oversight Framework
3) NHSE Assurance process</v>
          </cell>
          <cell r="L14" t="str">
            <v xml:space="preserve">3 x 4 = 12
</v>
          </cell>
          <cell r="M14" t="str">
            <v>Sufficient funding and workforce</v>
          </cell>
          <cell r="N14" t="str">
            <v>Gaps in assurance will be confirmed following partnership forum review.</v>
          </cell>
          <cell r="O14" t="str">
            <v>1) Greater certainty of finances and resources to provide planned services
2) Effective and successful Organisational Redesigned required by the National ICB Running Cost Reduction Programme.</v>
          </cell>
          <cell r="P14" t="str">
            <v>3 x 3 = 9</v>
          </cell>
          <cell r="Q14" t="str">
            <v>Medium</v>
          </cell>
          <cell r="R14" t="str">
            <v>2025/26 Operational Plan, including NHSE Assurance Oversight and sign-off 
ICB Executive Director Portfolio Objectives</v>
          </cell>
          <cell r="S14" t="str">
            <v>1)Review of the role of the partnership forum in Doncaster (formerly Place Committee), this is an evolving picture and will continue throughout 2025/6.
2)A review of the Partnership Forum is to be undertaken once we’ve confirmed the its role, expected by Q4 25/26</v>
          </cell>
          <cell r="T14" t="str">
            <v xml:space="preserve">January 2026 - the Doncaster Place partnership continue to work through a series of discussions regarding ways of working going forwards, taking a 3 horizons approach.  Recent conversations have focussed on developing our neighbourhood approach and ways in which to test new ideas and concepts.  The next meeting is at the end of January where the focus will include future place governance </v>
          </cell>
          <cell r="U14" t="str">
            <v>Place Delegation Arrangements and Effectiveness</v>
          </cell>
          <cell r="V14" t="str">
            <v>30/09/2024
24/11/2024
17/03/2025
28/03/2025
16/07/2025
25/09/2025
05/01/2026</v>
          </cell>
          <cell r="W14">
            <v>46117</v>
          </cell>
          <cell r="X14" t="str">
            <v>Quarterly</v>
          </cell>
          <cell r="Y14" t="str">
            <v>Not overdue</v>
          </cell>
        </row>
        <row r="15">
          <cell r="A15" t="str">
            <v>1.3 - R</v>
          </cell>
          <cell r="B15" t="str">
            <v xml:space="preserve">The local healthcare system is sustainable, accessible and reactive to change, through the development and implementation of effective Local Place Partnerships and Plans.
</v>
          </cell>
          <cell r="C15" t="str">
            <v xml:space="preserve">Anthony Fitzgerald
Doncaster / Rotherham Place Director
</v>
          </cell>
          <cell r="D15" t="str">
            <v xml:space="preserve">Claire Smith
</v>
          </cell>
          <cell r="E15" t="str">
            <v>Place Committee
System Leaders Executive</v>
          </cell>
          <cell r="F15" t="str">
            <v>Accountable</v>
          </cell>
          <cell r="G15" t="str">
            <v>South Yorkshire Joint Forward Plan / BAF 2023</v>
          </cell>
          <cell r="H15" t="str">
            <v>SY082, SY028,  SY069, SY040</v>
          </cell>
          <cell r="I15" t="str">
            <v>1) Development and implementation of effective system-wide and Place Operational Plans
2) Effective delivery management processes at place including internal ICB escalation
3) Effective and responsive complaints and enquiries processes
4) Patient experience and engagement process
5) Integrated Care Strategy
6) 5 year ICB Plan
7) EPRR
8) NHS England/SY ICB Assurance MOU</v>
          </cell>
          <cell r="J15" t="str">
            <v>1) ICB Place Committees
2) Operational Executive
3) Board Sub Committee review</v>
          </cell>
          <cell r="K15" t="str">
            <v>1) Local Health and Welbeing Boards
2)  NHSE Single Oversight Framework
3) NHSE Assurance process</v>
          </cell>
          <cell r="L15" t="str">
            <v xml:space="preserve">3 x 4 = 12
</v>
          </cell>
          <cell r="M15" t="str">
            <v xml:space="preserve">none identified </v>
          </cell>
          <cell r="N15" t="str">
            <v>None identified</v>
          </cell>
          <cell r="O15" t="str">
            <v>1)Greater certainty of finances and resources to provide planned services, 25 26 planning completed and there is clarity in terms of the additional financial gap in year that requires closing. 
2)There are plans in place to manage demand on acute services and we are looking at all provision in terms of whether it is statutory, VFM etc to seek further efficiencies. Planning has commenced for 26 27 with Place commissioning intentions in development.</v>
          </cell>
          <cell r="P15" t="str">
            <v>3 x 3 = 9</v>
          </cell>
          <cell r="Q15" t="str">
            <v>Medium</v>
          </cell>
          <cell r="R15" t="str">
            <v>agreement on uplifts to ensure ending of collective action *relating to new resident drs potential strikes in July 25</v>
          </cell>
          <cell r="S15" t="str">
            <v>No gaps identified, no action required</v>
          </cell>
          <cell r="T15" t="str">
            <v xml:space="preserve">August 2025 - budgets shared with understanding of financial gap that requires closing in year, turnaround budget meeting held and non recurrent/recurrent savings identified to support position. Demand management plans are in place and  being monitored though there are risks as we are seeing increases in attendances to A&amp;E and others services in primary and secondary care. Further work is being completed with trust and partners to look at what would be need to close beds and release ££s . 
November 2025 - this work continues, however the trust is seeing high demand through A&amp;E, positively this is not increasing admissions 
January 2026 - work underway to identified demand management schemes for 26 27 </v>
          </cell>
          <cell r="U15" t="str">
            <v xml:space="preserve">Place Delegation Arrangements and Effectiveness - Audit of Place governance commenced (as of 30/01/2025)
</v>
          </cell>
          <cell r="V15" t="str">
            <v>07/10/2024
06/01/2025
20/01/2025
30/01/2025
03/03/2025
04/04/2025
06/05/2025
10/06/2025
14/07/2025
18/08/2025
21/08/2025
22/09/2025
03/11/2025
04/11/2025
12/01/2026
16/02/2026</v>
          </cell>
          <cell r="W15">
            <v>46158</v>
          </cell>
          <cell r="X15" t="str">
            <v>Quarterly</v>
          </cell>
          <cell r="Y15" t="str">
            <v>Not overdue</v>
          </cell>
        </row>
        <row r="16">
          <cell r="A16" t="str">
            <v>1.3 - S</v>
          </cell>
          <cell r="B16" t="str">
            <v xml:space="preserve">The local healthcare system is sustainable, accessible and reactive to change, through the development and implementation of effective Local Place Partnerships and Plans.
</v>
          </cell>
          <cell r="C16" t="str">
            <v>Emma Latimer  
Sheffield Place Director</v>
          </cell>
          <cell r="D16" t="str">
            <v>Ian Atkinson</v>
          </cell>
          <cell r="E16" t="str">
            <v>Place Committee
System Leaders Executive</v>
          </cell>
          <cell r="F16" t="str">
            <v>Accountable</v>
          </cell>
          <cell r="G16" t="str">
            <v>South Yorkshire Joint Forward Plan / BAF 2023</v>
          </cell>
          <cell r="H16" t="str">
            <v>SY082, SY028,  SY069, SY040</v>
          </cell>
          <cell r="I16" t="str">
            <v>1) Development and implementation of effective system-wide and Place Operational Plans
2) Effective delivery management processes at place including internal ICB escalation
3) Effective and responsive complaints and enquiries processes
4) Patient experience and engagement process
5) Integrated Care Strategy
6) 5 year ICB Plan
7) EPRR
8) NHS England/SY ICB Assurance MOU</v>
          </cell>
          <cell r="J16" t="str">
            <v>1) ICB Place Committees
2) Operational Executive
3) Board Sub Committee review</v>
          </cell>
          <cell r="K16" t="str">
            <v>1) Local Health and Welbeing Boards
2)  NHSE Single Oversight Framework
3) NHSE Assurance process</v>
          </cell>
          <cell r="L16" t="str">
            <v xml:space="preserve">3 x 4 = 12
</v>
          </cell>
          <cell r="M16" t="str">
            <v xml:space="preserve">none identified </v>
          </cell>
          <cell r="N16" t="str">
            <v>1) Ongoing, effective leadership in the development and implementation of Place Partnerships, collaborative working, and plan implementation
2) Subsidiarity at Place a fundamental and underpinning principle of the of Phase 1 (to June 2023) Organisational Change programme in response to the National ICB Running Cost Reduction programme
3) Ongoing focus on prevention of illness
4) Sufficient funding and workforce</v>
          </cell>
          <cell r="O16" t="str">
            <v>1) Greater certainty of finances and resources to provide planned services
2) Effective and successful Organisational Redesigned required by the National ICB Running Cost Reduction Programme.</v>
          </cell>
          <cell r="P16" t="str">
            <v>3 x 3 = 9</v>
          </cell>
          <cell r="Q16" t="str">
            <v>Medium</v>
          </cell>
          <cell r="R16" t="str">
            <v>2023/24 Operational Plan, including NHSE Assurance Oversight and sign-off -Q18 ICB Executive Director Portfolio Objectives
Complete review of all ICB Functions as part of Phase 1 (to June 2023) Organisational Change programme in response to the National ICB Running Cost Allowance Reduction programme.  Change Programme implementation Q2 &amp; Q3; Transition to new Operating Model Q4</v>
          </cell>
          <cell r="S16" t="str">
            <v>1) 2023/24 Operational Plan - including NHSE Assurance Oversight and sign-off - ICB Executive Director Portfolio Objectives
 2) Complete review of all ICB Functions as part of Phase 1 (to June 2023)  
3) Organisational Change programme in response to the National ICB Running Cost Allowance Reduction programme.  Change Programme implementation Q2 &amp; Q3; Transition to new Operating Model Q4.</v>
          </cell>
          <cell r="U16" t="str">
            <v>Place Delegation Arrangements and Effectiveness</v>
          </cell>
          <cell r="V16" t="str">
            <v>25/09/2024
02/12/2024
06/01/2025
24/03/2025
12/05/2025
20/08/2025
24/11/2025
03/12/2025
11/03/2026</v>
          </cell>
          <cell r="W16">
            <v>46184</v>
          </cell>
          <cell r="X16" t="str">
            <v>Quarterly</v>
          </cell>
          <cell r="Y16" t="str">
            <v>Not overdue</v>
          </cell>
        </row>
        <row r="17">
          <cell r="A17" t="str">
            <v xml:space="preserve">1.4.1 </v>
          </cell>
          <cell r="B17" t="str">
            <v>Collaboratives, alliances and partnerships are effective and delivering outcomes from the agreed areas of work they are undertaking on behalf of the system (Acute Fed, Mental Health, LD, Children's and Voluntary sector) . Specifically for MHLDA this is delivery on the following:
MHLDA Provider Collaborative Deliverables:
- Health based place of safety arrangements (s136) in South Yorkshire to resolve issues with all age provision, environment, waits and processes
- Neurodiversity assessment (ASD/ADHD) for adults and children and young people
- Learning disabilities – STOMP – ensure an embedded, consistent and high-quality standard of care adhering to STOMP principles and implement STOMP healthcare pledge
- All Age Eating Disorders – reshaping the care model and commissioning approach
- OAPS - To reduce the number of people in placements outside the South Yorkshire (SY) boundary by ensuring best use of  existing capacity and developing new services where this provides quality and financial benefit. Scope includes provision for people of all ages where there is no SY provision, but demand indicates that development of suitable quality alternatives might be feasible in medium term.</v>
          </cell>
          <cell r="C17" t="str">
            <v>Sarah Perkins
Director of Transformation and Delivery</v>
          </cell>
          <cell r="D17" t="str">
            <v>Kelly Glover
Sarah Boul</v>
          </cell>
          <cell r="E17" t="str">
            <v xml:space="preserve">System Leadership Executive Group
</v>
          </cell>
          <cell r="F17" t="str">
            <v>Responsible</v>
          </cell>
          <cell r="G17" t="str">
            <v>South Yorkshire Joint Forward Plan</v>
          </cell>
          <cell r="H17" t="str">
            <v>SY021, SY028, SY040, SY066, SY079, SY082, SY127, SY128, SY134, IL12, IL18</v>
          </cell>
          <cell r="I17" t="str">
            <v xml:space="preserve">MHLDA Provider Collaborative are the programme lead for the MHLDA element of delivery - The collaborative will:
- Develop and implement effective system-wide delivery plans for their objectives
- Have effective delivery management processes in place including internal collaborative escalation and ICB escalation as needed
- The MHLDA Provider Collaborative board will have oversight and accountability for delivery of the agreed work areas
</v>
          </cell>
          <cell r="J17" t="str">
            <v>1) THE MHLDA Strategic Delivery Group will receive updates on the progress of the work programme and any items for escalation
2) The SLE will also remain apprised of progress via flashcard submission and any escalations via this route also
3) ICB Financial Strategy &amp; approach to MHIS to be collectively worked through between the collaborative and the ICB</v>
          </cell>
          <cell r="K17" t="str">
            <v xml:space="preserve">1) Only applicable if the deliverables involve reporting to NHSE/CQC which at present they do not </v>
          </cell>
          <cell r="L17" t="str">
            <v>3 x 3 = 9</v>
          </cell>
          <cell r="M17" t="str">
            <v>Sufficient Funding and Workforce</v>
          </cell>
          <cell r="N17" t="str">
            <v>No gaps in assurance</v>
          </cell>
          <cell r="O17" t="str">
            <v>1) Greater certainty of deliverables via tight outcome monitoring and ROI evaluation</v>
          </cell>
          <cell r="P17" t="str">
            <v>3 x 2 = 6</v>
          </cell>
          <cell r="Q17" t="str">
            <v>Medium</v>
          </cell>
          <cell r="R17" t="str">
            <v xml:space="preserve">The collaboratives, ICB programmes and places are working to clarify who is leading what to ensure clarity around what the priorities are across the system and who is leading and contributing to which elements. This is complicated by the current organisational change process and the future working arrangements of collaboratives and the ICB not yet being fully clear. </v>
          </cell>
          <cell r="S17" t="str">
            <v>Await the proposed financial plan to fund service and staffing following the recent government announcement regarding NHS Cost reductions, by end of Q4 2025/26.</v>
          </cell>
          <cell r="T17" t="str">
            <v xml:space="preserve">January 2025 - Review of the MHLDA Provider Collaborative work programme ambitions has taken place via the MHLDA Provider Collaborative Board on a bi-monthly basis. The HBPOS ambitions were agreed in Q3 for implementation in Q4. A 7 point plan for neurodiversity has been underway since Q2 and the STOMP work and eating disorders work have been running to plan through the year with the main focus of the latter being on neurodiversity and ED training and the development of a community pathway for Barnsley, Doncaster and Rotherham. On OAPs a significant review of data took place in Q2 and Q3 and a monthly collection for complex OAPs is now in place and a business case is underway to propose bringing HDU patients back into area.
February 2026 - The Collaborative continue to work on and deliver programme outcomes for the agreed areas of focus, notably on HBPoS, eating disorders and neurodiversity. Future form and function of the collaborative unclear at point of update and being worked through between Executive Leads. </v>
          </cell>
          <cell r="U17" t="str">
            <v>No</v>
          </cell>
          <cell r="V17" t="str">
            <v>03/10/2024
20/01/2025
27/01/2025
03/03/2025
25/03/2025
27/03/2025
06/05/2025
10/06/2025
14/07/2025
21/08/2025
22/09/2025
04/11/2025
09/02/2026</v>
          </cell>
          <cell r="W17">
            <v>46151</v>
          </cell>
          <cell r="X17" t="str">
            <v>Six-Monthly</v>
          </cell>
          <cell r="Y17" t="str">
            <v>Not overdue</v>
          </cell>
        </row>
        <row r="18">
          <cell r="A18" t="str">
            <v xml:space="preserve">1.4.2 </v>
          </cell>
          <cell r="B18" t="str">
            <v xml:space="preserve">Collaboratives, alliances and Partnerships are effective. (Acute Fed, Mental Health, LD, Children's and Voluntary sector) </v>
          </cell>
          <cell r="C18" t="str">
            <v xml:space="preserve">Chris Edwards
Chief Executive
</v>
          </cell>
          <cell r="D18" t="str">
            <v>No delegate</v>
          </cell>
          <cell r="E18" t="str">
            <v xml:space="preserve">System Leadership Executive Group
</v>
          </cell>
          <cell r="F18" t="str">
            <v>Responsible</v>
          </cell>
          <cell r="G18" t="str">
            <v>South Yorkshire Joint Forward Plan</v>
          </cell>
          <cell r="H18" t="str">
            <v>SY021, SY028, SY040, SY066, SY079, SY082,  SY127, SY128, SY134, IL12, IL18</v>
          </cell>
          <cell r="I18" t="str">
            <v>1) ICB Executive membership on Acute Federation Board. 
2) Acute Federation reports to the System Leadership Executive</v>
          </cell>
          <cell r="J18" t="str">
            <v>Director of Performance and Chief Executive attend Acute Federation Board to ensure plans are linked and progress is monitored.</v>
          </cell>
          <cell r="K18" t="str">
            <v>1) Regular meetings between Deputy Chief Executive and Acute Federation Managing Director to review plans and progress.
2) Regular meetings with ICB DOF and Acute DOFs to develop and monitor financial plans and performance.</v>
          </cell>
          <cell r="L18" t="str">
            <v>3 x 3 = 9</v>
          </cell>
          <cell r="M18" t="str">
            <v>No gaps currently identified in control.</v>
          </cell>
          <cell r="N18" t="str">
            <v>No gaps currently identified in asssurance.</v>
          </cell>
          <cell r="O18" t="str">
            <v xml:space="preserve">1) Clear Memorandum of Understanding (MOU) in place to ensure clarity over key functions of the Acute Federation
2) Continued support and communication in terms of workload across federation and SY/Places. 
3) Appropriate use of governance to ensure all required are cited on decisions made affecting SY/Places </v>
          </cell>
          <cell r="P18" t="str">
            <v>2 x 2 = 4</v>
          </cell>
          <cell r="Q18" t="str">
            <v>Medium</v>
          </cell>
          <cell r="R18" t="str">
            <v>Acute Federation is still relatively new and working through roles and responsibilities including how work alongside ICB, ensure there is no duplication and add value and efficiency across Trusts.</v>
          </cell>
          <cell r="S18" t="str">
            <v>None required</v>
          </cell>
          <cell r="U18" t="str">
            <v>Audit improvements in population health outcomes</v>
          </cell>
          <cell r="V18" t="str">
            <v>07/10/2024
11/11/2024
16/12/2024
03/03/2025
27/03/2025
06/05/2025
06/05/2025
10/06/2025
14/07/2025
21/08/2025
22/09/2025
04/11/2025
02/02/2026</v>
          </cell>
          <cell r="W18">
            <v>46236</v>
          </cell>
          <cell r="X18" t="str">
            <v>Six-Monthly</v>
          </cell>
          <cell r="Y18" t="str">
            <v>Not overdue</v>
          </cell>
        </row>
        <row r="19">
          <cell r="A19" t="str">
            <v>1.4.3.1 - Voluntary</v>
          </cell>
          <cell r="B19" t="str">
            <v xml:space="preserve">(VCSE) Collaboratives, alliances and Partnerships are effective. Specifically for the VCSE Alliance this is delivery on the following:
The commitments in the VCSE &amp; ICS Memorandum of Understanding to:
- Fully Embed VCSE Participation in Strategies and Partnerships
- Maximise VCSE Investment​
- Strengthen Partnerships in Community Involvement and Insights
- Optimise the VCSE Alliance model​
Develop a VCSE plan to support transformation
</v>
          </cell>
          <cell r="C19" t="str">
            <v xml:space="preserve">Chris Edwards
Chief Executive
</v>
          </cell>
          <cell r="D19" t="str">
            <v>Karen Smith</v>
          </cell>
          <cell r="E19" t="str">
            <v xml:space="preserve">System Leadership Executive Group
</v>
          </cell>
          <cell r="F19" t="str">
            <v>Responsible</v>
          </cell>
          <cell r="G19" t="str">
            <v>South Yorkshire Joint Forward Plan</v>
          </cell>
          <cell r="H19" t="str">
            <v>SY021, SY028, SY040, SY066, SY079, SY082,  SY127, SY128, SY134, IL12; IL18</v>
          </cell>
          <cell r="I19" t="str">
            <v>1) Annual review of VCSE and ICS Memorandum of Understanding.
2) Monthly review of VCSE Alliance plan on a page by Steering Group.
3) Weekly meetings of SRO, VCSE ICB member and VCSE Programme Director.
4) Continuous review of VCSE Alliance plan on a page and progress.</v>
          </cell>
          <cell r="J19" t="str">
            <v xml:space="preserve">Bimonthly updates to System Leadership Executive. 
</v>
          </cell>
          <cell r="K19" t="str">
            <v xml:space="preserve">Quarterly updates to ICB Board (note: not quarterly at present). </v>
          </cell>
          <cell r="L19" t="str">
            <v>2 x 3 = 6</v>
          </cell>
          <cell r="M19" t="str">
            <v>No identified gaps in control</v>
          </cell>
          <cell r="N19" t="str">
            <v xml:space="preserve">The VCSE Alliance reviews its role, focus and model alongside development of the plan. 
</v>
          </cell>
          <cell r="O19" t="str">
            <v xml:space="preserve">Additional Alliance resource, particularly into VCSE, would help capacity to deliver the work. </v>
          </cell>
          <cell r="P19" t="str">
            <v>2 x 3 = 6</v>
          </cell>
          <cell r="Q19" t="str">
            <v>Medium</v>
          </cell>
          <cell r="R19" t="str">
            <v xml:space="preserve">Whilst capacity is strengthened within the ICB, VCSE capacity is under pressure and can be affected by factors such as the current financial challenge and developments external to the ICB and health and care system. Identification of additional resourcing to support its involvement in this work is presently difficult.  </v>
          </cell>
          <cell r="S19" t="str">
            <v xml:space="preserve">Completion of VCSE plan by May 2025. (Note: in light of the ICB change process this is delayed).
</v>
          </cell>
          <cell r="T19" t="str">
            <v xml:space="preserve">August 2025 - The completion of the VSCE plan has been delayed in light of the ICB change process. </v>
          </cell>
          <cell r="U19" t="str">
            <v>No</v>
          </cell>
          <cell r="V19" t="str">
            <v>30/10/2024
06/01/2025
10/02/2025
27/03/2025
04/11/2025
02/02/2026</v>
          </cell>
          <cell r="W19">
            <v>46236</v>
          </cell>
          <cell r="X19" t="str">
            <v>Six-Monthly</v>
          </cell>
          <cell r="Y19" t="str">
            <v>Not overdue</v>
          </cell>
        </row>
        <row r="20">
          <cell r="A20" t="str">
            <v>1.4.3.2 - CYP Alliance</v>
          </cell>
          <cell r="B20" t="str">
            <v>(CYP Alliance) Collaboratives, Alliances and Partnerships are effective and work together to ensure the interconnections are clearly defined between each one and there is valued added, not duplication in each work programme and with each Place. Failure to meet this may result in a misuse of workforce capacity and funding.</v>
          </cell>
          <cell r="C20" t="str">
            <v>Cathy Winfield  
Chief Nursing Officer</v>
          </cell>
          <cell r="D20" t="str">
            <v>Nicola Ennis</v>
          </cell>
          <cell r="E20" t="str">
            <v xml:space="preserve">System Leadership Executive Group
</v>
          </cell>
          <cell r="F20" t="str">
            <v>Responsible</v>
          </cell>
          <cell r="G20" t="str">
            <v>South Yorkshire Joint Forward Plan</v>
          </cell>
          <cell r="H20" t="str">
            <v>SY021, SY028, SY040, SY066, SY079, SY082,  SY127, SY128, SY134, IL12; IL18</v>
          </cell>
          <cell r="I20" t="str">
            <v xml:space="preserve">1) NHSE Children and Young Peoples (CYP) transformation deliverables connected to the Joint Forward Plan (JFP) priorities, 
2) CYP Alliance work plan with Place and System priorities connected to the Integrated Care Partnership (ICP) Strategy Bold Ambition Best Start in Life 
3) The interconnections for CYP with providers collaborative e.g. paediatric innovator work programme. neurodevelopment assessments, early intervention for mental health 
</v>
          </cell>
          <cell r="J20" t="str">
            <v xml:space="preserve">1) CYP Alliance Strategic Board
2) CYP Alliance Assurance Group
3) ICB System Leaders
4) SCFT Board 
5) Place CYP Transformation Boards </v>
          </cell>
          <cell r="K20" t="str">
            <v>NHSE - regional and national reports bi-monthly</v>
          </cell>
          <cell r="L20" t="str">
            <v>3 x 3 = 9</v>
          </cell>
          <cell r="M20" t="str">
            <v>1) 25% reduction in the budget from 24/25 to 25/26 which mean less capacity and resource to dirve a system prioirty. 
2) There will also be an impact on ICB workforce through due the the Governments mandate to reduce the ICB spend by 50% by end of Q3 2025/6</v>
          </cell>
          <cell r="N20" t="str">
            <v>Priority in the move toward SY wide governance space where there is oversight of all CYP wirk taking place, which is reliant on engagement from all partners</v>
          </cell>
          <cell r="O20" t="str">
            <v>A system governance group with key partners to build relationships, connections and assurance as well as drive change in a more systemic way.</v>
          </cell>
          <cell r="P20" t="str">
            <v>2 x 3 = 6</v>
          </cell>
          <cell r="Q20" t="str">
            <v>Medium</v>
          </cell>
          <cell r="R20" t="str">
            <v>There are multi  forums where the connections are being made re the transformational work that affects CYP. There is also the CYP Alliance governance groups that supports the connections and avoids duplication which provides some assurance but the risks would be lower if there was a specific SY forum to bring all CYP priorities into one space.</v>
          </cell>
          <cell r="S20" t="str">
            <v xml:space="preserve">1) Continue the conversations with multiple partners across the system to understand  how we can create a strategic space for CYP oversight and assurance throughout 2025/6.
2) An actions plan has been developed with associated timescales which will report into the ICP Board by Q3 25/26
</v>
          </cell>
          <cell r="T20" t="str">
            <v>March 2025 - Recommendations to progress these were presented and approved by the Integrated Care Partnership Board in February 2025. An action plan with the recommendations has been developed with associated timescales.</v>
          </cell>
          <cell r="U20" t="str">
            <v>No</v>
          </cell>
          <cell r="V20" t="str">
            <v>22/10/2024
07/01/2025
05/03/2025
31/03/2025
18/08/2025
24/02/2026</v>
          </cell>
          <cell r="W20">
            <v>46258</v>
          </cell>
          <cell r="X20" t="str">
            <v>Six-Monthly</v>
          </cell>
          <cell r="Y20" t="str">
            <v>Not overdue</v>
          </cell>
        </row>
        <row r="21">
          <cell r="A21" t="str">
            <v>1.4.3.4 - Acute Fed</v>
          </cell>
          <cell r="B21" t="str">
            <v xml:space="preserve">(Acute Fed) Collaboratives, Alliances and Partnerships are effective and work together to ensure the interconnections are clearly defined between each one and there is valued added, not duplication in each work programme and with each Place. </v>
          </cell>
          <cell r="C21" t="str">
            <v xml:space="preserve">Chris Edwards
Chief Executive
</v>
          </cell>
          <cell r="D21" t="str">
            <v>No delegate</v>
          </cell>
          <cell r="E21" t="str">
            <v xml:space="preserve">System Leadership Executive Group
</v>
          </cell>
          <cell r="F21" t="str">
            <v>Responsible</v>
          </cell>
          <cell r="G21" t="str">
            <v>South Yorkshire Joint Forward Plan</v>
          </cell>
          <cell r="H21" t="str">
            <v>SY021, SY028, SY040, SY066, SY079, SY082,  SY127, SY128, SY134, IL12; IL18</v>
          </cell>
          <cell r="I21" t="str">
            <v>1) Alliances share plans and risks at the SLE through a flashcard approach. 
2) All alliances invoolved in ICB planning and delivery through the SLE</v>
          </cell>
          <cell r="J21" t="str">
            <v>ICB Deputy Chief Executive is the lead executive for the alliance and sits on the Acute Federation Board.</v>
          </cell>
          <cell r="K21" t="str">
            <v>Acute Trusts are regulated by yhr CQC and NHSE as well as the ICB</v>
          </cell>
          <cell r="L21" t="str">
            <v>3 x 3 = 9</v>
          </cell>
          <cell r="M21" t="str">
            <v>No gaps currently identified in control.</v>
          </cell>
          <cell r="N21" t="str">
            <v>No gaps currently identified in asssurance.</v>
          </cell>
          <cell r="O21" t="str">
            <v xml:space="preserve">All plans fully aligned </v>
          </cell>
          <cell r="P21" t="str">
            <v>3 x 3 = 9</v>
          </cell>
          <cell r="Q21" t="str">
            <v>High</v>
          </cell>
          <cell r="R21" t="str">
            <v>Acute Federation Board meets every 2 months and SLE meets every 2 months</v>
          </cell>
          <cell r="S21" t="str">
            <v>None required</v>
          </cell>
          <cell r="T21" t="str">
            <v xml:space="preserve">As part of 24/25 planning </v>
          </cell>
          <cell r="U21" t="str">
            <v>No</v>
          </cell>
          <cell r="V21" t="str">
            <v>25/10/2024
11/11/2024
16/12/2024
06/01/2025
03/03/2025
27/03/2025
06/05/2025
10/06/2025
14/07/2025
21/08/2025
22/09/2025
04/11/2025
02/02/2026</v>
          </cell>
          <cell r="W21">
            <v>46144</v>
          </cell>
          <cell r="X21" t="str">
            <v>Quarterly</v>
          </cell>
          <cell r="Y21" t="str">
            <v>Not overdue</v>
          </cell>
        </row>
        <row r="22">
          <cell r="A22" t="str">
            <v>1.6.1 - CYP Alliance</v>
          </cell>
          <cell r="B22" t="str">
            <v xml:space="preserve">Children and Young People (0-25) services are effective and of high quality standards (General Services), The services meet the needs of the children, young people and families living in each Place and the services.  Failure to meet this may result in health inequalities </v>
          </cell>
          <cell r="C22" t="str">
            <v>Cathy Winfield  
Chief Nursing Officer</v>
          </cell>
          <cell r="D22" t="str">
            <v>Nicola Ennis</v>
          </cell>
          <cell r="E22" t="str">
            <v>SY ICB Place Committees</v>
          </cell>
          <cell r="F22" t="str">
            <v>Accountable</v>
          </cell>
          <cell r="G22" t="str">
            <v>South Yorkshire Joint Forward Plan</v>
          </cell>
          <cell r="H22" t="str">
            <v>SY040, SY107, SY127, SY128, IL08</v>
          </cell>
          <cell r="I22" t="str">
            <v xml:space="preserve">1) Ensuring effectiveness of  children and young people (CYP) services align with the Joint Forward Plan (JFP), Getting in Right First Time (GIRFT) and the bold ambition  best start in life which included waiting lists for community services, elective surgery, mental health services and neurodevelopment assessments. 
2) Each Place has specific workplans connected to the recovery of long waits and the key leads from Place are working with provider collaboratives and alliance to support system change in services where appropriate. 
</v>
          </cell>
          <cell r="J22" t="str">
            <v>1) Place Boards
2) Provider Collaberatives and Alliance Boards
3) ICB System Leaders Groups</v>
          </cell>
          <cell r="K22" t="str">
            <v xml:space="preserve">NHSE regional and national reporting </v>
          </cell>
          <cell r="L22" t="str">
            <v>3 x 3 = 9</v>
          </cell>
          <cell r="M22" t="str">
            <v xml:space="preserve">Uncertainty in strategic direction due to pending national guidance.
Resource constraints driven by mandated cost reductions to take effect by December 2025.
Engagement from key stakeholders.
</v>
          </cell>
          <cell r="N22" t="str">
            <v xml:space="preserve">Unclear prioritisation across stakeholders.
</v>
          </cell>
          <cell r="O22" t="str">
            <v xml:space="preserve">1) Involve CYP, Families and Carers
2) involve the CYP workforce
3) Involve ICB CYP Place leads and providers 
4) involve finance colleagues
</v>
          </cell>
          <cell r="P22" t="str">
            <v>2 x 3 = 6</v>
          </cell>
          <cell r="Q22" t="str">
            <v>Medium</v>
          </cell>
          <cell r="R22" t="str">
            <v xml:space="preserve">We are working alongside ICB CYP leads to understand Place priorities and the service provision already commissioned. We are reviewing what needs to change to ensure effective services in line with insights shared by CYP  e.g. access to services 
</v>
          </cell>
          <cell r="S22" t="str">
            <v xml:space="preserve">1) Agree priorities areas to work together in 2026 and create improvements following the community mapping exercise.
</v>
          </cell>
          <cell r="T22" t="str">
            <v>September 2025 - The Acute Federation have completed the community mapping exercise, they have a report and recommendations in draft waiting for final approval and then into the next step to take forward the recommendations. It has been difficult to gain the full financial picture due to a variation in commissioning arrangements however as much as could be understood at this time has been and this aspect of the work has been completed.</v>
          </cell>
          <cell r="U22" t="str">
            <v>No</v>
          </cell>
          <cell r="V22" t="str">
            <v>22/10/2024
07/01/2025
31/03/2025
18/08/2025
30/09/2025</v>
          </cell>
          <cell r="W22">
            <v>46111</v>
          </cell>
          <cell r="X22" t="str">
            <v>Six-Monthly</v>
          </cell>
          <cell r="Y22" t="str">
            <v xml:space="preserve">-3 </v>
          </cell>
        </row>
        <row r="23">
          <cell r="A23" t="str">
            <v>1.6.2.1.</v>
          </cell>
          <cell r="B23" t="str">
            <v>The ICB is meeting its statutory safeguarding responsibilities</v>
          </cell>
          <cell r="C23" t="str">
            <v>Cathy Winfield  
Chief Nursing Officer</v>
          </cell>
          <cell r="D23" t="str">
            <v>Alun Windle
Jayne Sivakumar</v>
          </cell>
          <cell r="E23" t="str">
            <v>Place Committee</v>
          </cell>
          <cell r="F23" t="str">
            <v>Accountable</v>
          </cell>
          <cell r="G23" t="str">
            <v>South Yorkshire Joint Forward Plan</v>
          </cell>
          <cell r="H23" t="str">
            <v>SY040, SY107, SY127, SY128</v>
          </cell>
          <cell r="I23" t="str">
            <v>SY Children and Young People Alliance</v>
          </cell>
          <cell r="J23" t="str">
            <v xml:space="preserve">1) Safeguarding - Place Based Local Safeguarding Partnerships. 
2) ICB System - Safeguarding Oversight and Assurance Meeting (SOAM), QPIE.
</v>
          </cell>
          <cell r="K23" t="str">
            <v xml:space="preserve">1) Local Safeguarding Partnerships
2) NHS E Regional and National Teams 
3) CQC </v>
          </cell>
          <cell r="L23" t="str">
            <v>3 x 3 = 9</v>
          </cell>
          <cell r="M23" t="str">
            <v>A South Yorkshire four Place differing approach to safeguarding
Implementation of the co-design and Insights work undertaken over the previous 12 months.
Single system safegaurding dashboard</v>
          </cell>
          <cell r="N23" t="str">
            <v>A single system approach to data monitoring, risk oversight and escalation.</v>
          </cell>
          <cell r="O23" t="str">
            <v xml:space="preserve">1) Involve CYP
2) Health Equity Collaborative
3) Long term conditions
4) New service models &amp; pilots eg core connect
5) Children and young people mental health
</v>
          </cell>
          <cell r="P23" t="str">
            <v>3 x 2 = 6</v>
          </cell>
          <cell r="Q23" t="str">
            <v>Medium</v>
          </cell>
          <cell r="R23" t="str">
            <v>Safeguarding teams are well established and safeguarding approach at ICB is well established. Mechanisms of assurance is in place at Place, further work being undertaken to bring it together as an ICB system</v>
          </cell>
          <cell r="S23" t="str">
            <v>1) Populate and submit the NHS Digital Safeguarding dashboard requirements aligned to NHS E Quarterly Audits, and bi-monthly to Safeguarding Oversight and Assurance Meeting (SOAM) throughout 25/26, with aim to achieve by Q4 25/26
2) Further develop the oversight and assurance framework for safeguarding across all 4 areas and report into QIPPE at a system level by end of Q3 25/26
Review and await the strategic commissioning functions of Integrated Care boards expected to be finalised by Q3 25/26
Oversight framework developed and approved by QPPIE in March 2025 in line with the development of the strategic commissioning framework for ICB, implementation currently on hold due to recent government announcement re: running cost reductions, which are expected to be finalised by Q3 25/26
Business Continuity Plan for ICB Quality and Safety has been developed. 
The Associate Director of Nursing for Patient Safety and IPC is working with NHSE to scope out  the key elements of the future Quality functions - future roles and responsibilities and how SYICB will approach the work. This is nearly completed.  RACI developed.
Quality Escalation for cancer services drafted.
Time out for Quality and Nursing Leadership arranged for 13 Feb to look at future model and ways of working.</v>
          </cell>
          <cell r="U23" t="str">
            <v>No</v>
          </cell>
          <cell r="V23" t="str">
            <v>30/10/2024
07/01/2025
27/03/2025
21/07/2025
26/01/2026
30/03/2026</v>
          </cell>
          <cell r="W23">
            <v>46295</v>
          </cell>
          <cell r="X23" t="str">
            <v>Six-Monthly</v>
          </cell>
          <cell r="Y23" t="str">
            <v>Not overdue</v>
          </cell>
        </row>
        <row r="24">
          <cell r="A24" t="str">
            <v>1.6.2.2</v>
          </cell>
          <cell r="B24" t="str">
            <v>Children and Young People (0-25) services are effective (SEND)</v>
          </cell>
          <cell r="C24" t="str">
            <v>Cathy Winfield  
Chief Nursing Officer</v>
          </cell>
          <cell r="D24" t="str">
            <v>Andrea Ibbeson</v>
          </cell>
          <cell r="E24" t="str">
            <v xml:space="preserve">Place Committees and 
SY ICB SEND Board
</v>
          </cell>
          <cell r="F24" t="str">
            <v>Accountable</v>
          </cell>
          <cell r="G24" t="str">
            <v>South Yorkshire Joint Forward Plan</v>
          </cell>
          <cell r="H24" t="str">
            <v>SY040, SY107, SY127, SY128</v>
          </cell>
          <cell r="I24" t="str">
            <v>SY Children and Young People Alliance</v>
          </cell>
          <cell r="J24" t="str">
            <v>1) SEND - SEND place based multi-agency boards
2) ICB System - ICB SEND Board (chaired by Chief Nurse Officer), QPIE</v>
          </cell>
          <cell r="K24" t="str">
            <v>1) Place Based MA SEND Board 
2) NHS E Regional and National Teams 
3) CQC</v>
          </cell>
          <cell r="L24" t="str">
            <v>3 x 3 = 9</v>
          </cell>
          <cell r="M24" t="str">
            <v>Staffing - identified that there is a need for a Head of SEND to support the ICB to carry out statutory obligations of the SEND agenda 
Rotherham - Designated Clinical Officer (DCO) WTE as currently at 0.8</v>
          </cell>
          <cell r="N24" t="str">
            <v xml:space="preserve">Dashboard that will offer full understanding of performance and quality matrix for the system. 
</v>
          </cell>
          <cell r="O24" t="str">
            <v xml:space="preserve">1) Involve CYP
2) Health Equity Collaborative
3) Long term conditions
4) New service models &amp; pilots eg core connect
5) Children and young people mental health
</v>
          </cell>
          <cell r="P24" t="str">
            <v>3 x 2 = 6</v>
          </cell>
          <cell r="Q24" t="str">
            <v>Medium</v>
          </cell>
          <cell r="R24" t="str">
            <v>Designated clinical officers and transformation leads at Place are well established alongside the required partnership working at Place. Further work to be undertaken to bring together as an ICB system</v>
          </cell>
          <cell r="S24" t="str">
            <v>1) Plan to recruit a Head of SEND is currently on hold whilst organisational change is being worked through during 2025/6. This may extend to beyond this financial year, pending further announcements.
2)Roles and responsibilities are being reviewed as part of a wider piece of work to support the organisational change process during 2025/6. This may extend to beyond this financial year, pending further announcements.
3) Continue to develop a SEND dashboard throughout 2025/26, which may face delay in light of the current organisational change process.</v>
          </cell>
          <cell r="T24" t="str">
            <v>24/03/25 - ICB SEND Board is established, first meeting held in October in 2024. Clear reporting structures have been formed and are now established. This provides assurances to QPPIE and ICB Executive Leads. We continue to meet with service users and families at each place to ensure their voices are heard and acted upon.</v>
          </cell>
          <cell r="U24" t="str">
            <v>No</v>
          </cell>
          <cell r="V24" t="str">
            <v>30/10/2024
11/11/2024
07/01/2025
27/03/2025
17/07/2025
30/09/2025</v>
          </cell>
          <cell r="W24">
            <v>46111</v>
          </cell>
          <cell r="X24" t="str">
            <v>Six-Monthly</v>
          </cell>
          <cell r="Y24" t="str">
            <v xml:space="preserve">-3 </v>
          </cell>
        </row>
        <row r="25">
          <cell r="A25" t="str">
            <v>1.6.3.</v>
          </cell>
          <cell r="B25" t="str">
            <v>Children and Young People (0-25) services are effective (Mental Health, LD and Autism)
Specifically for mental health this includes:
• Implementation of Mental Health Support Teams in Schools
• A comprehensive offer for 0-25 year olds that reaches across mental health services for CYP and adults.
• The 95% CYP Eating Disorder referral to treatment time standards and the proportion of CYP waiting 4 weeks or less to start receiving help achieved
• 100% coverage of 24/7 mental health crisis care provision for children and young people which combines crisis assessment, brief response and intensive home treatment functions
• Delivery of the CYP inpatient transformation plan (led by specialised collaborative)
• CYP mental health plans will align with those for children and young people with learning disability, autism, special educational needs and disability (SEND), children and young people’s services, and health and justice</v>
          </cell>
          <cell r="C25" t="str">
            <v>Sarah Perkins
Director of Transformation and Delivery</v>
          </cell>
          <cell r="D25" t="str">
            <v>Kelly Glover
Sarah Boul</v>
          </cell>
          <cell r="E25" t="str">
            <v>Place Committee</v>
          </cell>
          <cell r="F25" t="str">
            <v>Accountable</v>
          </cell>
          <cell r="G25" t="str">
            <v>South Yorkshire Joint Forward Plan</v>
          </cell>
          <cell r="H25" t="str">
            <v>SY040, SY107, SY127, SY128</v>
          </cell>
          <cell r="I25" t="str">
            <v>1) Development and implementation of effective system-wide and Place Operational Plans to deliver LTP B35 planning objectives
2) Effective delivery management processes at place including internal ICB escalation and system level oversight
3) Effective patient experience and engagement process to support delivery undertaken by VCSE partner
4) Focus on delivering the ambitions of the Integrated Care Strategy and 5 year ICB Plan with a focus on early intervention and prevention</v>
          </cell>
          <cell r="J25" t="str">
            <v xml:space="preserve">1) ICB Place Committees
2) MHLDDA SDG
3) Senior Leadership Executive
4) Operational Executive
5) Board </v>
          </cell>
          <cell r="K25" t="str">
            <v xml:space="preserve"> NHSE Assurance process</v>
          </cell>
          <cell r="L25" t="str">
            <v>3 x 3 = 9</v>
          </cell>
          <cell r="M25" t="str">
            <v>Sufficient Funding and Workforce</v>
          </cell>
          <cell r="N25" t="str">
            <v xml:space="preserve">
ICB Level assurance of neurodiversity pathways that we are effectively tackling issues around neurodiversity in each Place and at system</v>
          </cell>
          <cell r="O25" t="str">
            <v>1) Involve CYP
2) Health Equity Collaborative
3) Long term conditions
4) New service models &amp; pilots eg core connect
5) Children and young people mental health
6)Family hubs
7)Full usage of targeted SDF</v>
          </cell>
          <cell r="P25" t="str">
            <v>3 x 2 = 6</v>
          </cell>
          <cell r="Q25" t="str">
            <v>Medium</v>
          </cell>
          <cell r="R25" t="str">
            <v xml:space="preserve">The collaboratives, ICB programmes and places are working to clarify who is leading what to ensure clarity around what the priorities are across the system and who is leading and contributing to which elements. Data to support a number of the metrics is flowing again giving assurances that access to services is improving, 2 new NHSTs will be coming onboard and all places have 24/7 crisis provision. 
</v>
          </cell>
          <cell r="S25" t="str">
            <v>1) ICB level and Place level oversight of deliverables and adherence to access and waiting times standards, ongoing quarterly throughout 25/26.
2) Places to focus on local pathways and developments – including phase 2 of the Partnership for inclusion in schools (PINS) project, by Q4 25/26 with the evaluation continuing through 26/27
3) LDA Programme to focus on SY-Wide approaches – including expansion of the All Age LDA Key-working service which will conclude phase 2 by Q4 25/26 with the Adult Proof of concept running through to 26/27 following the completion of the evaluation in 27/28, PINS project oversight and set up of SY community of practice and the sharing and learning of the CYP Projects to conclude by Q4 25/26 with evaluation for PINS continuing into 26/27
4) MH and LDA portfolio directors to continue collaborative work towards the CYP Inpatient transformation programme, led by the Specialised Provider Collaborative
5) Delivery and implementation of agreed recommendations following the review around ASD/ADHD priorities. This will be ICB-led (Sheffield Place Deputy Director team) who will oversee the recommendations working closely with Provider Collaborative and other partners with some elements of the work to be completed by Q4 25/26 with implementation commencing 26/27 and remaining recommendations to be worked through in 26/27. 
6) Implement individual place programme plans by Q4 25/26</v>
          </cell>
          <cell r="T25" t="str">
            <v xml:space="preserve">September 2025 - The Review of CYP LDA programme to ensure alignment with provider collaborative led programmes has now concluded, with the outcome that Places will focus on local pathways and developments including phase 2 of the PINS project.
Significant work has been undertaken by the Provider Collaborative relating to the delivery of all-age ASD/ADHD workstream following review. it was agreed that there needed to be a more achievable and timely approach to addressing the challenges.  A proposed approach and recommendations has been agreed via a paper submitted to SLE in September.  This will be led by the ICB (Ian Atkinson’s team from Sheffield Place) who will oversee the recommendations agreed working closely with the Provider Collaborative and other partners.
The MHST teams from 2024/25 are now live in Doncaster and Barnsley. In addition, in 2025/26 financial year a further 4 MHSTs have been awarded as follows: 1x Doncaster, 1x Rotherham and 2x Sheffield – it is anticipated that these will help to further access to CYP mental health services over the coming years. On CYP mental health access targets during the 2025/26 planning round there was agreement on what items should be reported via the MHSDS and this is now in place across all places/providers. Best practice is shared via the SY ICB CYP Mental Health Steering Group and risks/mitigations are raised at the steering group as required.
February 2026 - 4 additional Wave 14 MHSTs agreed and beginning recruitment, CYP ED waiting times being met, continued improvements in access to CYP mental health services, keyworking service continuing with new model of working being implemented to improve efficiencies of the service, PINs rollout continues. Work on neurodiversity continues - system-wide approach to ADHD pathways under agreement, but there has been less focus on system-wide approaches to autism, with this work being predominantly completed at place level, with noted disparity of access between places. </v>
          </cell>
          <cell r="U25" t="str">
            <v>No</v>
          </cell>
          <cell r="V25" t="str">
            <v>03/10/2024
06/01/2025
20/01/2025
27/01/2025
03/03/2025
10/03/2025
27/03/2025
06/05/2025
10/06/2025
14/07/2025
22/09/2025
04/11/2025
09/02/2026</v>
          </cell>
          <cell r="W25">
            <v>46243</v>
          </cell>
          <cell r="X25" t="str">
            <v>Six-Monthly</v>
          </cell>
          <cell r="Y25" t="str">
            <v>Not overdue</v>
          </cell>
        </row>
        <row r="26">
          <cell r="A26" t="str">
            <v>1.7.</v>
          </cell>
          <cell r="B26" t="str">
            <v>The ICB has a programme of work in place to strengthen and accelerate our focus on prevention and early identification that has a focus on where it can have the most impact in improving outcomes; 
i) on the four main modifiable risk factors of smoking, healthy weight (diet and physical activity), alcohol and hypertension, 
ii) improved management of long term conditions which are the main causes of premature mortality in South Yorkshire (cardiovascular and respiratory) in order to delay and prevent co-morbidity from occurring.</v>
          </cell>
          <cell r="C26" t="str">
            <v>Dr David Crichton 
Chief Medical Officer</v>
          </cell>
          <cell r="D26" t="str">
            <v>Lisa Wilkins
David Lautman</v>
          </cell>
          <cell r="E26" t="str">
            <v>Pop Health and Health Inequalities SDG, 
Place Committee</v>
          </cell>
          <cell r="F26" t="str">
            <v>Accountable</v>
          </cell>
          <cell r="G26" t="str">
            <v>South Yorkshire Joint Forward Plan</v>
          </cell>
          <cell r="H26" t="str">
            <v>SY044</v>
          </cell>
          <cell r="I26" t="str">
            <v xml:space="preserve">1) To give clear oversight Prevention and LTC papers detailing progress against JFP priorities will be  tabled at Pop Health and HI SDG and Board.
2) South Yorkshire wide work on prevention and LTC is led by the Prevention and Public Health Team (Medical Directorate) together with the Population Health Team (also in the Medical Directorate). The Prevention/Pop Health teams coordinate input to strategy development (linking with Place Transformation and Delivery Managers), directly lead on some programme delivery on behalf of the ICB across SY and support or coordinate other programmes which are primarily delivered via Places.  
3) The majority of the delivery of prevention/LTC transformation and delivery occurs at Place by the transformation teams and through Place partnerships. 
4) The South Yorkshire wide and Place priorities are informed by the Joint Forward Plan, NHS planning Guidance, Integrated Care Partnership's strategy and Place partnership strategies. In 25/26 we are expecting the publication of a 10 year Health Plan which will further guide this work. 
5) Physical Health and Prevention Programmes are further supported by the Clinical Programmes team at NHSE NEY Regional Team. 
</v>
          </cell>
          <cell r="J26" t="str">
            <v>1) x4 Place Partnership Committees
2) SY SDG Population Health and HI's
3) SY SDG Prevention &amp; LTC Subgroup</v>
          </cell>
          <cell r="K26" t="str">
            <v>NEY NHSE Regional meetings (NEY Prevention Board and NEY Physical Health Board)</v>
          </cell>
          <cell r="L26" t="str">
            <v>3 x 3 = 9</v>
          </cell>
          <cell r="M26" t="str">
            <v xml:space="preserve">1) Limited ICB budget for prevention, with system wide prevention initiatives predominately funded non recurrently leading to non sustainable services and difficulty with recruitment and retention of staff
2) SDF funding no longer ring fenced plus overall  financial position limiting funding for prevention and LTC transformation 
3) Limited ICB capacity to accelerate progress combined with (in some cases) non alignment of priorities across the Places +/- SY wide working resulting in slower progress than would otherwise be possible
4) System level prevention posts funded from non recurrent 'SDF' funding that is no longer ring fenced. Two fixed term extended to March 26. 3 people on secondment/GP contractor currently til end Dec but asking Exec next week to consider extended to end March 26
5) Lack of a SY clinical pathway for people with obesity resulting in unmet need and inability to comply with the existing and new NICE TAs for weight management related drugs. Huge risk to primary care capacity and to funding of costs of implementation of NICE TAs for weight management drugs, including Tirzepatide
6) Lack of an alcohol care team at DBTH. Risk to funding to the STH Alcohol team - awaiting confirmation that Trust funding.
7) Cardiac and pulmonary rehabilitation uptake/provision not meeting national targets and reduction in SDF funding limiting potential to address this
8) Unwarranted variation in care in primary care for primary and secondary prevention and lack of a SY wide approach and capacity to support practices to reduce the variation
</v>
          </cell>
          <cell r="N26" t="str">
            <v>1) Lack of clarity of accountability due to the combination of Place and SY wide working 
2) Organisational change resulting in likely loss of staff/capacity, loss organisational memory and possible change in governance structures</v>
          </cell>
          <cell r="O26" t="str">
            <v>1)Shift in mindset and resources to invest and support prevention and LTC management with recurrent funding and sufficient capacity to enable a step change on a sustainable basis at sufficient scale to have a population health impact.
2)Implementation of a SY approach to supporting practices that have the greatest unwarranted variation, which not only looks at clinical/holistic management but also the underlying structure and organisation of the practices. 
3)Awaiting national delivery plan / operating planning guidance. But ongoing work does all align with 10 year plan.</v>
          </cell>
          <cell r="P26" t="str">
            <v>3 x 3 = 9</v>
          </cell>
          <cell r="Q26" t="str">
            <v>Medium</v>
          </cell>
          <cell r="R26" t="str">
            <v>UCL Institute of Health Equity, England’s Widening Health Gap: Local Places Falling Behind and life expectancy falling.</v>
          </cell>
          <cell r="S26" t="str">
            <v>1) Codesign of a SY wide obesity clinical care pathway and implementation of the Tirzepatide and other NICE TAs for weight management drugs and development of supporting business case. Optional appraisal/business case to be presented to Executive by June 26.
2) Doncaster Place transformation colleagues to continue to work with RDASH and DBTH to remodel inpatient alcohol care services to an ACT model throughout 2025/6
3) Continue to liaise with STH regarding Trust internal funding for ACT and raise via contracting routethroughout 2025/6
4) Continue to work with Cardiac and Pulmonary rehabilitation teams to enhance pathways, raise awareness of CR/PR eligibility criteria in primary care, invest 'SDF' funding to increase skill mix of teams to avoid scarce specialist clinical team being spent on non clinical duties and increase the use of digital rehab. By end of March 26
5) Alignment of place / system priorities via the I&amp;V process - Q1 and Q2  25/26
6) Confirm extension of contracts for fixed term prevention / LTC posts, which may be delayed due to the recent announcement re: running cost reductions expected to be finalised by Q3 25/6
7) Ensure key focus of SY 10 year plan is on enhancing prevention and LTC management and includes the development of a SY approach that is sufficiently resources to support practices who have the greatest unwarranted variation. This may also require a review on whether practices in the most deprived areas require additional funding, throughout 2025/6
8) Confirm prevention/LTC SDF budget and move to recurrent rather than non recurrent funding, which may be delayed due to the recent announcement re: ICB cost reductions expected to be finalised by Q3 25/6</v>
          </cell>
          <cell r="T26" t="str">
            <v xml:space="preserve">June 2025 -  Financial challenges: SDF funding is no longer ringfenced for programmes of work which will potentially limited progress.
Limited SY wide and Place Transformation Capacity. 
Obesity transformation task group established in April 2025, project planning and HNA commenced; Information given to STH to support their internal ACT B'ness case; Awaiting confirmation of SDF funding; clinical lead and other prevention fixed term contracts extended to June 25; Consultant in PHM attending I&amp;V meetings to enhance connectivity with Place Deputy Directors; prevention/LTC 'stock check' underway.
Organisation change process being undertaken in line with the Strategic Commissioning direction within the ICB blueprint document. </v>
          </cell>
          <cell r="U26" t="str">
            <v>Repeat 360 internal Audit</v>
          </cell>
          <cell r="V26" t="str">
            <v>23/08/2024
22/11/2024
24/02/2025
10/04/2025
18/08/2025
24/11/2025
23/02/2026</v>
          </cell>
          <cell r="W26">
            <v>46165</v>
          </cell>
          <cell r="X26" t="str">
            <v>Quarterly</v>
          </cell>
          <cell r="Y26" t="str">
            <v>Not overdue</v>
          </cell>
        </row>
        <row r="27">
          <cell r="A27" t="str">
            <v>1.8 - B</v>
          </cell>
          <cell r="B27" t="str">
            <v>Primary care services are effective in Place failure to meet this may result in primary care services not meeting the primary care needs of the local population and in turn increasing pressure and demand on other services</v>
          </cell>
          <cell r="C27" t="str">
            <v>Katie Calvin-Thomas
Barnsley Place Director</v>
          </cell>
          <cell r="D27" t="str">
            <v>Jamie Wike</v>
          </cell>
          <cell r="E27" t="str">
            <v xml:space="preserve">System Leadership Executive Group supported by:
Place Committee  </v>
          </cell>
          <cell r="F27" t="str">
            <v>Accountable</v>
          </cell>
          <cell r="G27" t="str">
            <v>South Yorkshire Joint Forward Plan</v>
          </cell>
          <cell r="H27" t="str">
            <v>SY079, SY069, SY061, SY132, IL03</v>
          </cell>
          <cell r="I27" t="str">
            <v>1) Place representation on the Primary Care Provider Alliance and Steering Group
2) Engagement arrangements with Primary Care Network and wider General Practices
3) Medical Director and GP clinical lead in place</v>
          </cell>
          <cell r="J27" t="str">
            <v>1) Place Partnership Board and Place Committee
2) Place Quality and Patient Safety Group
3) Place SMT
4) SY QIPPE</v>
          </cell>
          <cell r="K27" t="str">
            <v>1) Barnsley Overview and Scrutiny Committee 
2) CQC Inspection and oversight of regulated services NHSE Regional Oversight</v>
          </cell>
          <cell r="L27" t="str">
            <v>3 x 3 = 9</v>
          </cell>
          <cell r="M27" t="str">
            <v>Primary Care data availablity is limited in terms of accessibility and does not have the same data standards or reporting requirements hospital and Community services.</v>
          </cell>
          <cell r="N27" t="str">
            <v>Primary Care engagement in the development of improvement plans and oversight of delivery of national guidance and requirements such as Primary Care Access and Recovery Plan</v>
          </cell>
          <cell r="O27" t="str">
            <v>Broader Primary Care representation in key work to address Barnsley Place and SY wide priorities</v>
          </cell>
          <cell r="P27" t="str">
            <v>2 x 3 = 6</v>
          </cell>
          <cell r="Q27" t="str">
            <v>Medium</v>
          </cell>
          <cell r="R27" t="str">
            <v>2025/26 Operational Plan, including NHSE Assurance Oversight and sign-off - ICB Executive Director Portfolio Objectives
Place Transformation and Delivery Plan is in place aligned to ICB transformation priorities.</v>
          </cell>
          <cell r="S27" t="str">
            <v>Review Primary Care engagement mechanisms by December 2025 to ensure broader representation across all aspect of Primary Care as part of the review of the role of the place partnership following ICB changes 2025</v>
          </cell>
          <cell r="T27" t="str">
            <v>August 2025 - Place Partners have a established a T&amp;F group to review overall place partnership arrangements and ensure they are ft for the future following changes to the ICB role.</v>
          </cell>
          <cell r="U27" t="str">
            <v>No</v>
          </cell>
          <cell r="V27" t="str">
            <v>25/09/2024
11/11/2024
10/02/2025
27/03/2025
30/05/2025
04/07/2025
14/08/2025
18/08/2025
18/09/2025
12/12/2025
12/01/2026
16/02/2026  
27/03/2026</v>
          </cell>
          <cell r="W27">
            <v>46292</v>
          </cell>
          <cell r="X27" t="str">
            <v>Six-Monthly</v>
          </cell>
          <cell r="Y27" t="str">
            <v>Not overdue</v>
          </cell>
        </row>
        <row r="28">
          <cell r="A28" t="str">
            <v>1.8 - D</v>
          </cell>
          <cell r="B28" t="str">
            <v>Primary care services are effective in Place.</v>
          </cell>
          <cell r="C28" t="str">
            <v xml:space="preserve">Anthony Fitzgerald
Doncaster / Rotherham Place Director
</v>
          </cell>
          <cell r="D28" t="str">
            <v>Ailsa Leighton</v>
          </cell>
          <cell r="E28" t="str">
            <v xml:space="preserve">System Leadership Executive Group supported by:
Place Committee  </v>
          </cell>
          <cell r="F28" t="str">
            <v>Accountable</v>
          </cell>
          <cell r="G28" t="str">
            <v>South Yorkshire Joint Forward Plan</v>
          </cell>
          <cell r="H28" t="str">
            <v>SY079, SY069, SY061, SY132, IL031</v>
          </cell>
          <cell r="I28" t="str">
            <v xml:space="preserve">1) Provider alliances are working effectively
2) Place based Primary Care Steering Group and Primary Care Operational Group </v>
          </cell>
          <cell r="J28" t="str">
            <v>Place based primary care quality and performance sub-group</v>
          </cell>
          <cell r="K28" t="str">
            <v xml:space="preserve">CQC regulation of primary care services </v>
          </cell>
          <cell r="L28" t="str">
            <v>4 x 3 = 12</v>
          </cell>
          <cell r="M28" t="str">
            <v>No gaps in control identifed</v>
          </cell>
          <cell r="N28" t="str">
            <v>No gaps in assurance identified</v>
          </cell>
          <cell r="O28" t="str">
            <v xml:space="preserve">Further clarity is required across South Yorkshire in relation to decision making for primary care; this is under active review by the Primary Care Alliance and a SY wide audit has been completed.  This will be considered in light of recent announcements made about changing roles of ICBs.  </v>
          </cell>
          <cell r="P28" t="str">
            <v>3 x 3 = 9</v>
          </cell>
          <cell r="Q28" t="str">
            <v>Medium</v>
          </cell>
          <cell r="R28" t="str">
            <v>Alongside the Primary Care Steering Group and Primary Care Operational Group the local primary care quality review meeting considers all indicators relating to practices in order to determine whether there are any "red flags" and act/ escalate accordingly.  Whilst this cannot prevent issues, it enables timely action and builds upon the good relationships that are in place with practices and the LMC.</v>
          </cell>
          <cell r="S28" t="str">
            <v>No gaps identfied, no need for further action at this time</v>
          </cell>
          <cell r="T28" t="str">
            <v xml:space="preserve">February 2026- the Doncaster Primary Care Federation led a Doncaster wide primary care leaders discussion at the end of January 2026, with Federation members, LMC and PCN CDs all present.  The ICB attended the event to discuss future ways of working together and Commissioning Intentions.  It was recognised that future ways of working and the Doncaster partnership are emerging and that primary care are a central part of this.  The Primary Care Steering Group will continue to meet until the ICB has transitioned into its new form and new governance mechanisms are agreed; this will be kept under active review </v>
          </cell>
          <cell r="U28" t="str">
            <v>No</v>
          </cell>
          <cell r="V28" t="str">
            <v>23/09/2024
24/11/2024
17/03/2025
28/03/2025
16/07/2025
20/10/2025
02/02/2026</v>
          </cell>
          <cell r="W28">
            <v>46144</v>
          </cell>
          <cell r="X28" t="str">
            <v>Quarterly</v>
          </cell>
          <cell r="Y28" t="str">
            <v>Not overdue</v>
          </cell>
        </row>
        <row r="29">
          <cell r="A29" t="str">
            <v>1.8 - R</v>
          </cell>
          <cell r="B29" t="str">
            <v>Primary care services are effective in Place.</v>
          </cell>
          <cell r="C29" t="str">
            <v xml:space="preserve">Anthony Fitzgerald
Doncaster / Rotherham Place Director
</v>
          </cell>
          <cell r="D29" t="str">
            <v xml:space="preserve">Claire Smith
</v>
          </cell>
          <cell r="E29" t="str">
            <v xml:space="preserve">System Leadership Executive Group supported by:
Place Committee  </v>
          </cell>
          <cell r="F29" t="str">
            <v>Accountable</v>
          </cell>
          <cell r="G29" t="str">
            <v>South Yorkshire Joint Forward Plan</v>
          </cell>
          <cell r="H29" t="str">
            <v>SY079, SY069, SY061, SY132, IL03</v>
          </cell>
          <cell r="I29" t="str">
            <v xml:space="preserve">1)Place Primary Care meetings; 
2)Primary Care Delivery Group chaired by Deputy Place Director, decisions record and may go through Place Executive Team (meets weekly) where appropriate. 
3)Oversight by Rotherham PLACE board
4) LMC officers meeting monthly supporting relationships and agreeing approaches collectively
5) Rotherham is now a pilot site for Neighbourhood working and have developed further membership of the Place board to include CD rep and there is an identified Place team to support the national pilot including several representatives from PC who have been voted in by PC colleagues democratically </v>
          </cell>
          <cell r="J29" t="str">
            <v>Operational Executive</v>
          </cell>
          <cell r="K29" t="str">
            <v>Annual update to Health Select committee</v>
          </cell>
          <cell r="L29" t="str">
            <v>3 x 3 = 9</v>
          </cell>
          <cell r="M29" t="str">
            <v xml:space="preserve">none identified </v>
          </cell>
          <cell r="N29" t="str">
            <v xml:space="preserve">none identified </v>
          </cell>
          <cell r="O29" t="str">
            <v xml:space="preserve">agreement on uplifts to ensure ending of collective action *relating to new resident drs potential strikes in future </v>
          </cell>
          <cell r="P29" t="str">
            <v>2 x 3 = 6</v>
          </cell>
          <cell r="Q29" t="str">
            <v>High</v>
          </cell>
          <cell r="R29" t="str">
            <v>Place Primary Care meetings; Primary Care Delivery Group chaired by Deputy Place Director, decisions record and may go through Place Executive Team (meets weekly) where appropriate. Oversight by Rotherham PLACE board. LMC officers meeting and attendance at CDs. Primary Care Place team fully recruited to supporting primary care. See above re addition in terms of engagement with PC on Neighbourhood national pilot. On 18th Oct Rotherham team attended the NHSE first event and are feeding back to Place colleagues in Nov Place board on the outcomes of this. This month (December) our partners signed the Compact and have began the work to provide communications regarding the programme and key messages. Jan work continues on INT with operational group agreeing key actions and outcomes. Place board update due January 2026. Further update in Feb with full development of actions plans across the three priority areas</v>
          </cell>
          <cell r="S29" t="str">
            <v>No gaps identified, no action required</v>
          </cell>
          <cell r="U29" t="str">
            <v xml:space="preserve">Audit improvements in population health outcomes in 25/26 </v>
          </cell>
          <cell r="V29" t="str">
            <v>07/10/2024
11/11/2024
16/12/2024
06/01/2025
30/01/2025
03/03/2025
04/04/2025
06/05/2025
10/06/2025
14/07/2025
18/08/2025
21/08/2025
22/09/2025
01/10/2025
03/11/2025
04/11/2025
08/12/2025
12/01/2026
16/02/2026</v>
          </cell>
          <cell r="W29">
            <v>46250</v>
          </cell>
          <cell r="X29" t="str">
            <v>Six-Monthly</v>
          </cell>
          <cell r="Y29" t="str">
            <v>Not overdue</v>
          </cell>
        </row>
        <row r="30">
          <cell r="A30" t="str">
            <v>1.8 - S</v>
          </cell>
          <cell r="B30" t="str">
            <v>Primary care services are effective in Place.</v>
          </cell>
          <cell r="C30" t="str">
            <v>Emma Latimer  
Sheffield Place Director</v>
          </cell>
          <cell r="D30" t="str">
            <v>Ian Atkinson</v>
          </cell>
          <cell r="E30" t="str">
            <v xml:space="preserve">System Leadership Executive Group supported by:
Place Committee  </v>
          </cell>
          <cell r="F30" t="str">
            <v>Accountable</v>
          </cell>
          <cell r="G30" t="str">
            <v>South Yorkshire Joint Forward Plan</v>
          </cell>
          <cell r="H30" t="str">
            <v>SY079, SY069, SY061, SY132, IL03</v>
          </cell>
          <cell r="I30" t="str">
            <v xml:space="preserve">1) The Sheffield Place team have a Primary Care team, which is responsible for discharging the NHSE Primary Care delegation into the Sheffield Place
2) aligned to this is a Primary Care Governance Framework that oversees all aspects of Primary care delegation </v>
          </cell>
          <cell r="J30" t="str">
            <v xml:space="preserve">The ICB FEG receive all decisions related to Primary care delegation </v>
          </cell>
          <cell r="K30" t="str">
            <v xml:space="preserve">CQC inspects all practices routinely </v>
          </cell>
          <cell r="L30" t="str">
            <v>3 x 3 = 9</v>
          </cell>
          <cell r="M30" t="str">
            <v>no further additional action at present managed through place Primary Care committee - so why is there an action?</v>
          </cell>
          <cell r="N30" t="str">
            <v>no further additional action at present managed through place Primary Care committee - so why is there an action?</v>
          </cell>
          <cell r="O30" t="str">
            <v xml:space="preserve">agreement on uplifts to ensure ending of collective action </v>
          </cell>
          <cell r="P30" t="str">
            <v>2 x 3 = 6</v>
          </cell>
          <cell r="Q30" t="str">
            <v>High</v>
          </cell>
          <cell r="R30" t="str">
            <v>Place Primary Care meetings.</v>
          </cell>
          <cell r="S30" t="str">
            <v xml:space="preserve">Regular meetings with PCNs/LMC to monitor progress against plans and develop new services 
Work with PCNs and the federation to mitigate potential impact of collective action </v>
          </cell>
          <cell r="T30" t="str">
            <v>Nothing at this time.</v>
          </cell>
          <cell r="U30" t="str">
            <v>No</v>
          </cell>
          <cell r="V30" t="str">
            <v>23/08/2024
02/12/2024
06/01/2025
24/03/2025
10/11/2025</v>
          </cell>
          <cell r="W30">
            <v>46152</v>
          </cell>
          <cell r="X30" t="str">
            <v>Six-Monthly</v>
          </cell>
          <cell r="Y30" t="str">
            <v>Not overdue</v>
          </cell>
        </row>
        <row r="31">
          <cell r="A31" t="str">
            <v>1.9.1</v>
          </cell>
          <cell r="B31" t="str">
            <v xml:space="preserve">We undertake the ICB legal duties to: Promote innovation in the provision of health services and 
facilitate or otherwise promote research on matters relevant to the health service, and the use of health service evidence obtained from research.
There is continual Quality Improvement, with digital, innovation and research being considered and utilised in everything we do to help us achieve our aims.
We work with our communities to enable them to participate in research and better understand the conditions and 'causes of the causes' to enable us to respond effectively to the needs of our entire population.
</v>
          </cell>
          <cell r="C31" t="str">
            <v>Dr David Crichton 
Chief Medical Officer</v>
          </cell>
          <cell r="D31" t="str">
            <v>Jade Rose
Kieran Baker</v>
          </cell>
          <cell r="E31" t="str">
            <v>System Leaders Executive</v>
          </cell>
          <cell r="F31" t="str">
            <v>Accountable</v>
          </cell>
          <cell r="G31" t="str">
            <v>South Yorkshire Joint Forward Plan</v>
          </cell>
          <cell r="H31" t="str">
            <v xml:space="preserve">SY115, SY116, SY117, SY124, SY028, SY082, SY107, SY040, SY066, SY127  </v>
          </cell>
          <cell r="I31" t="str">
            <v>1) Digital, Research and Innovation Delivery Group chaired by the Chief Medical Officer
2) Academic Health Science Network Innovation Hub
3) ICB Quality Improvement Programme
4) Working together in Research (Research Engagement Network) led by our VCFS.
5) Delivery of the SY Data Services Platform to support population health management, building interoperability and collegiate working with the University of Sheffield as part of Connected South Yorkshire, feeding into the regional SDE programme.</v>
          </cell>
          <cell r="J31" t="str">
            <v>1) System Leaders Executive.
2) Integrated Care Board.</v>
          </cell>
          <cell r="K31" t="str">
            <v>1) Internal Audit
2) NHS England
3) CQC</v>
          </cell>
          <cell r="L31" t="str">
            <v>3 x 2 = 6</v>
          </cell>
          <cell r="M31" t="str">
            <v xml:space="preserve"> Quality Improvement research section - no person currrently in place to lead the research agenda for SY ICB.
</v>
          </cell>
          <cell r="N31" t="str">
            <v xml:space="preserve">No current gaps in assurance
</v>
          </cell>
          <cell r="O31" t="str">
            <v>1) Fully implementing the research and innovation strategy.
2) Progress on implementation of the Digital and Insights strategy.
3) Further develop an Improvement Academy for South Yorkshire
4) Progress a South Yorkshire Academic Health Partnership.
5) Works with charitable organisations to develop joint initiatives (e.g. Active together)
6) Work with SYMCA to bring the current research community together to maximise the impact of the collective.</v>
          </cell>
          <cell r="P31" t="str">
            <v>2 x 2 = 4</v>
          </cell>
          <cell r="Q31" t="str">
            <v>High</v>
          </cell>
          <cell r="R31" t="str">
            <v>There is a concerted focus on Quality Improvement across the ICB and provider organisation.
There is good engagement from research partners across NHS researches, academia, Health Innovation Yorkshire and Humber (HIN Y&amp;H), National Institute for Health and Care Research (NIHR) and wider research and life science partners. 
 There are many assets identified in South Yorkshire working in this field. Advanced Wellbeing Research Centre and Olympic Legacy park.</v>
          </cell>
          <cell r="S31" t="str">
            <v xml:space="preserve">Implement the research and innovation strategy and further develop the working together in research partnership to ensure diversity and inclusion in programmes of work, throughout 2025/6
</v>
          </cell>
          <cell r="T31" t="str">
            <v>January 2026 - Data and Insight Strategy is well into delivery, with a new data platform which is accessible by SYICS partners through sub-licensing. We are also working closely with HNY ICB colleagues on a shared data platform solution to improve analytical capability and reduce cost.</v>
          </cell>
          <cell r="U31" t="str">
            <v>Review of our Quality Improvement approach and governance</v>
          </cell>
          <cell r="V31" t="str">
            <v>18/10/2024
13/03/2025
27/03/2025
30/09/2025
06/01/2026</v>
          </cell>
          <cell r="W31">
            <v>46209</v>
          </cell>
          <cell r="X31" t="str">
            <v>Six-Monthly</v>
          </cell>
          <cell r="Y31" t="str">
            <v>Not overdue</v>
          </cell>
        </row>
        <row r="32">
          <cell r="A32" t="str">
            <v>1.9.2.</v>
          </cell>
          <cell r="B32" t="str">
            <v xml:space="preserve">There is continual Quality improvement and research in everything we do with quality survellience, oversight and improvement
</v>
          </cell>
          <cell r="C32" t="str">
            <v>Cathy Winfield  
Chief Nursing Officer</v>
          </cell>
          <cell r="D32" t="str">
            <v>Alun Windle</v>
          </cell>
          <cell r="E32" t="str">
            <v>System Leadership Executive Group</v>
          </cell>
          <cell r="F32" t="str">
            <v>Accountable</v>
          </cell>
          <cell r="G32" t="str">
            <v>South Yorkshire Joint Forward Plan</v>
          </cell>
          <cell r="H32" t="str">
            <v xml:space="preserve">SY115, SY116, SY117, SY124, SY028, SY082, SY107, SY040, SY066, SY127  </v>
          </cell>
          <cell r="I32" t="str">
            <v>1) SY Chief Nurses 
2) Academic Health Science Network 
3) Quality Improvement Programme
4) Futures Quality Programme
5) National Research Networks 
6) National/regional learning outcomes</v>
          </cell>
          <cell r="J32" t="str">
            <v>1) Safeguarding Quality Group, attended by CQC and NHS England
2) Escalation Policy for Place enhanced surveillance (three levels of escalation)</v>
          </cell>
          <cell r="K32" t="str">
            <v>1) CQC
2) Mandated support from NHS England into ICB and affected Trust</v>
          </cell>
          <cell r="L32" t="str">
            <v>4 x 3 = 12</v>
          </cell>
          <cell r="M32" t="str">
            <v>A South Yorkshire four Place differing approach to quality survellience, oversight and improvement;Implementation of the co-design and Insights work undertaken over the previous 12 months.</v>
          </cell>
          <cell r="N32" t="str">
            <v>A system learning approach to PSII's and cordianted patient experience feedback. 
A single system approach to data monitoring, risk oversight and escalation.</v>
          </cell>
          <cell r="O32" t="str">
            <v xml:space="preserve">1) Identify opportunities for innovation
2) Establish system governance
3) Quality improvement approach – Implement five pillars of NHSE Improvement approach
4) Build on SY Violence Reduction to establish Serious Violence Duty. Executive Board to ensure duty met
</v>
          </cell>
          <cell r="P32" t="str">
            <v>3 x 2 = 6</v>
          </cell>
          <cell r="Q32" t="str">
            <v>Low</v>
          </cell>
          <cell r="R32" t="str">
            <v xml:space="preserve">2 acute trust at enhanced scrutiny: 
1 at intensive – level 2 escalation process
1 at Place enhanced scrutiny
Paediatric audit programme ongoing improvement programme across SY
Tier 1 oversight for Caner with a planned harm review process </v>
          </cell>
          <cell r="S32" t="str">
            <v xml:space="preserve">1)Review and await the strategic commissioning functions of Integrated Care boards expected to be finalised by Q3 25/26
2)  Implementation of the oversight framework (approved in March 2025) - currently on hold due to recent government announcement re: running cost reductions, which are expected to be finalised by Q3 25/26 </v>
          </cell>
          <cell r="U32" t="str">
            <v>No</v>
          </cell>
          <cell r="V32" t="str">
            <v>09/10/2024
07/01/2025
10/03/2025
27/03/2025
23/06/2025
08/09/2025
13/10/2025
21/11/2025
28/01/2026
06/03/2026</v>
          </cell>
          <cell r="W32">
            <v>46271</v>
          </cell>
          <cell r="X32" t="str">
            <v>Six-Monthly</v>
          </cell>
          <cell r="Y32" t="str">
            <v>Not overdue</v>
          </cell>
        </row>
        <row r="33">
          <cell r="A33" t="str">
            <v>1.10.</v>
          </cell>
          <cell r="B33" t="str">
            <v>There is continual assurance and oversight in everything we do to ensure that our population is safe from harm and abuse</v>
          </cell>
          <cell r="C33" t="str">
            <v>Cathy Winfield  
Chief Nursing Officer</v>
          </cell>
          <cell r="D33" t="str">
            <v xml:space="preserve">Alun Windle 
</v>
          </cell>
          <cell r="E33" t="str">
            <v>System Leadership Executive Group</v>
          </cell>
          <cell r="F33" t="str">
            <v>Accountable</v>
          </cell>
          <cell r="G33" t="str">
            <v>South Yorkshire Joint Forward Plan</v>
          </cell>
          <cell r="H33" t="str">
            <v>SY106</v>
          </cell>
          <cell r="I33" t="str">
            <v xml:space="preserve">1)SY Chief Nurses
2)SY Safeguarding Board 
3)Place Safeguarding Partnerships
4)Safer Partnership Boards. </v>
          </cell>
          <cell r="J33" t="str">
            <v>1) SOAM - in full please
2) QPIE 
3) SQG.</v>
          </cell>
          <cell r="K33" t="str">
            <v>1) NHSE
2) CQC</v>
          </cell>
          <cell r="L33" t="str">
            <v>3 x 3 = 9</v>
          </cell>
          <cell r="M33" t="str">
            <v xml:space="preserve">A South Yorkshire four Place differing approach to quality survellience, oversight and improvement;Implementation of the co-design and Insights work undertaken over the previous 12 months.
</v>
          </cell>
          <cell r="N33" t="str">
            <v>Coordinated SY ICB learning group to identify opportunties, reduced supported/funded VCS sector for victims of abuse
A system learning approach to PSII's and cordianted patient experience feedback. 
A single system approach to data monitoring, risk oversight and escalation.</v>
          </cell>
          <cell r="O33" t="str">
            <v>cordinated supported VCS offer for victims of abuse.</v>
          </cell>
          <cell r="P33" t="str">
            <v>3 x 2 = 6</v>
          </cell>
          <cell r="Q33" t="str">
            <v>medium</v>
          </cell>
          <cell r="R33" t="str">
            <v>controls in place to oversee and support partnership originations in meeting legislation requirements and contemporary best practice. However there have been a significant number of  Safeguarding Adult Reviews, Domestic Homicide Reviews, a national panel review of care in a SY children’s home.</v>
          </cell>
          <cell r="S33" t="str">
            <v xml:space="preserve">1) Review and await the strategic commissioning functions of Integrated Care boards expected to be finalised by Q3 25/26
2) The implementation of a single system approach as outlined in Insights co-design work is currently on hold due to recent government announcement re: running cost reductions, which are expected to be finalised by Q3 25/26   </v>
          </cell>
          <cell r="U33" t="str">
            <v>No</v>
          </cell>
          <cell r="V33" t="str">
            <v>09/09/2024
11/11/2024
07/01/2025
10/03/2025
27/03/2025
23/06/2025
08/09/2025
13/10/2025
21/11/2025
28/01/2026
06/03/2026
30/03/2026</v>
          </cell>
          <cell r="W33">
            <v>46295</v>
          </cell>
          <cell r="X33" t="str">
            <v>Six-Monthly</v>
          </cell>
          <cell r="Y33" t="str">
            <v>Not overdue</v>
          </cell>
          <cell r="Z33" t="str">
            <v>The ICB undertake provider safeguarding assurance groups, we are executive members of adults &amp; children’s safeguarding partnership boards, community safer partnerships and Violence Reduction Unit/New Duty Board</v>
          </cell>
        </row>
        <row r="34">
          <cell r="A34">
            <v>1.1100000000000001</v>
          </cell>
          <cell r="B34" t="str">
            <v xml:space="preserve">There are sufficient EPRR arrangements in place to meet the legislation and standards required as a Category 1 responder, both in risk assessment, planning, multi-agency collaboration, response to and recovery from incidents and emergencies.  Failure to achieve this may result in gaps in planning arrangements, insufficient staff trained in incident response, detrimental effects on patient services and ICB functional resilience, and a failure of the ICB to undertake its statutory duties in this area for which it is legally accountable.
</v>
          </cell>
          <cell r="C34" t="str">
            <v>Sarah Perkins
Director of Transformation and Delivery</v>
          </cell>
          <cell r="D34" t="str">
            <v>Helena Charlton</v>
          </cell>
          <cell r="E34" t="str">
            <v>ICB Board</v>
          </cell>
          <cell r="F34" t="str">
            <v>Responsible</v>
          </cell>
          <cell r="G34" t="str">
            <v>Corporate Risk Register</v>
          </cell>
          <cell r="H34" t="str">
            <v>SY011</v>
          </cell>
          <cell r="I34" t="str">
            <v xml:space="preserve">As a Category 1 responder the ICB has responsibilities both to plan for, and respond to emergencies which may affect the NHS in South Yorkshire.  It undertakes this by:
(a) having an Accountable Emergency Officer (AEO) and an Emergency Preparedness, Resilience &amp; Response (EPRR) Manager to co-ordinate and undertake the engagement with both the SY Local Health Resilience Partnership (LHRP) with wider NHS partners, and across SY multi-agency responder partners via the Local Resilience Forum (LRF). Work on the ICB's own EPRR resilience and business continuity arrangements is also undertaken/co-ordinated via the EPRR Manager.
(b) having Tactical and Strategic-level on-call rotas to ensure there is a prompt response by the ICB to any incident or issue requiring support at any time, by staff trained in incident response
(c) taking part in an annual assurance process on a number of Core Standards identified nationally which set out the specific good practice for Category 1 responders across the NHS.
</v>
          </cell>
          <cell r="J34" t="str">
            <v>1) Best practice for embedding the arrangements for EPRR is for all relevant staff to undertake both training courses as appropriate to their role, and exercises to embed the learning and also update/refresh response plans without the impact on patients and services from actual incidents.
2) EPRR workstreams involving the ICB also endeavour to bring in colleagues from other teams who have more experience in certain areas, such as identifying vulnerable patients, clinical impacts from incidents. This includes engagement from staff in the On-Call and EPRR Implementation Groups for the ICB.
3) Business Continuity work will be undertaken by all ICB teams to identify their priority services, risks which may affect delivery, and contribute to ICB wider business continuity plans.</v>
          </cell>
          <cell r="K34" t="str">
            <v>1) annual Assurance process which is run via NHS England.  Details of the process for 2024-25 is yet to be confirmed, but is already being supported by collaboration across all the SY NHS organisations, including the ICB, to address gaps identified in the 2023-24 process and identify opportunities for further improvement.  Update on position for 2025/6 please
2) Collaboration and sharing of best practice is also taking place between EPRR staff across the NE&amp;Y ICBs, with neighbouring ICBs in the Midlands, and via meetings with the NHS England EPRR team</v>
          </cell>
          <cell r="L34" t="str">
            <v>3 x 4 = 12</v>
          </cell>
          <cell r="M34" t="str">
            <v>Workforce Capacity - 1.2 WTE at the ICB currently.
Requirement of specialist skills, which are of reduced supply within the NHS
Both of these are impacted by the current financial position and uncertainty around future NHS structures.</v>
          </cell>
          <cell r="N34" t="str">
            <v xml:space="preserve">1) staff training and business continuity planning, both of which are affected by wider ICB staff engagement and time to undertake this work, along with the capacity of the EPRR function to (a) deliver bespoke training, and (b) support staff with BC training and review of plans.
2) EPRR Core Standards National Assurance process - at 78% following 2025 submission.  </v>
          </cell>
          <cell r="O34" t="str">
            <v>1)Timely updates to policies and governance for EPRR and Business Continuity in line with changes to the ICB in 2026.
2)Identification and training of additional staff across the ICB who could be called upon for incident response, and priority EPRR work if required.
3)Prompt restarting of business continuity processes with all teams when the new structures are in place.</v>
          </cell>
          <cell r="P34" t="str">
            <v>4 x 4 = 16</v>
          </cell>
          <cell r="Q34" t="str">
            <v>Medium</v>
          </cell>
          <cell r="R34" t="str">
            <v>The ICB has EPRR resourcing in place but many of the staff are new to the specific requirements for this work area and are in the process of undertaking training and gaining experience - depending on what incident may arise the impact on patient services may be greater from this lack of experience in the short term; pressures from other areas of work are also affecting the ICB's EPRR resourcing.</v>
          </cell>
          <cell r="S34" t="str">
            <v>1)EPRR Implementation Group (previously Working Group) to review options for further support to EPRR functions, though organisational change and uncertainty is affecting this currently.
2) Discussions to be held with 360 Assurance to establish appropriate resourcing review - audit undertaken in summer 2025 but unable to undertake resourcing review until future role of ICBs confirmed following organisational change which is continuing throughout 2025/6
3) EPRR Core Standards National Assurance process to be undertaken by October 2026 - expecting updates to standards this coming year which may have an impact on compliance requirements.</v>
          </cell>
          <cell r="U34" t="str">
            <v>No</v>
          </cell>
          <cell r="V34" t="str">
            <v>21/10/2024
02/12/2024
27/03/2025
29/12/2025
09/02/2026</v>
          </cell>
          <cell r="W34">
            <v>46090</v>
          </cell>
          <cell r="X34" t="str">
            <v>Monthly</v>
          </cell>
          <cell r="Y34" t="str">
            <v xml:space="preserve">-24 </v>
          </cell>
          <cell r="AB34" t="str">
            <v>ICB Board - 03.09.2025 - EPRR Update</v>
          </cell>
        </row>
        <row r="35">
          <cell r="A35" t="str">
            <v>Objective 2:  Tackle Inequalities in Outcomes, Experience and Access 
 Executive Lead - Chief Medical Officer</v>
          </cell>
          <cell r="L35" t="str">
            <v xml:space="preserve">Risk Appetite
9 </v>
          </cell>
          <cell r="P35" t="str">
            <v xml:space="preserve">Risk Appetite
9 </v>
          </cell>
        </row>
        <row r="36">
          <cell r="A36" t="str">
            <v>2.1..</v>
          </cell>
          <cell r="B36" t="str">
            <v xml:space="preserve">Through effective Place Partnership Plans, the ICB is tackling inequalities and moving towards greater self-care prevention and patient empowerment.   
</v>
          </cell>
          <cell r="C36" t="str">
            <v>Dr David Crichton 
Chief Medical Officer</v>
          </cell>
          <cell r="D36" t="str">
            <v>Lisa Kell</v>
          </cell>
          <cell r="E36" t="str">
            <v xml:space="preserve">Place Committees
</v>
          </cell>
          <cell r="F36" t="str">
            <v>Accountable</v>
          </cell>
          <cell r="G36" t="str">
            <v>South Yorkshire Joint Forward Plan / BAF 2023</v>
          </cell>
          <cell r="H36" t="str">
            <v xml:space="preserve">SY021, SY042, SY061, SY044 </v>
          </cell>
          <cell r="I36" t="str">
            <v>1) PHM SDG  
2) Digital Research Innovation (DRI) SDG 
3) ICS Constitution sets out statutory duties
4) ICS Engagement and Involvement Strategy and policies 
5) Place Communication &amp; Engagement Plan
6) Strong relationship with Healthwatch 
7) Health &amp; Wellbeing Board - local collaborative work to improve health outcomes and address health inequalities.   
8) Place Strategy and Place Delivery Plans
9) Integrated Care Partnership Strategy
10) Population Health Needs Assessment  
11) Joint Forward Plan - ICP strategy and comprehensive public engagement on population needs.  
12) SY Digital strategy to develop PHM infrastructure, i.e. shared data platform PHM digital tech and implementation across SY (both for direct patient care and service planning purposes).</v>
          </cell>
          <cell r="J36" t="str">
            <v>1) SY Population health SDG and 360 HI audit action plan Digital Research and innovation SDG.   
2) Outcomes framework and Dashboard
3) Integrated Care Strategy
4) x 4 Place Partnership Committees</v>
          </cell>
          <cell r="K36" t="str">
            <v>1)360 Internal Audit on HIs completed with  considerations , action plan developed and owned by Pop h SDG was presented at QPIE 8/8, Action plan progress to be presented to QPIE going forward  
2)NHSE Assurance Framework 
 3) CQC</v>
          </cell>
          <cell r="L36" t="str">
            <v xml:space="preserve">4 x 3 = 12
</v>
          </cell>
          <cell r="M36" t="str">
            <v xml:space="preserve">Recent announcements regarding NHSE and ICBs highlights uncertainty of the roles and functions going forward.  
Sufficient resources required to undertake the work required to facilitate work that reduces health inequalities and inequity of access ( investment £ and capacity / resources) </v>
          </cell>
          <cell r="N36" t="str">
            <v xml:space="preserve">Recent announcements regarding NHSE and ICBs highlights uncertainty of the roles and functions going forward.  
Sufficient resources required to undertake the work required to facilitate work that reduces health inequalities and inequity of access ( investment £ and capacity / resources) </v>
          </cell>
          <cell r="O36" t="str">
            <v>1) Health Care related Inequalities are clearly reported  in equivalence with other ICB Duties Through pop health outcomes framework and dashboard (within the Integrated Performance Report (IPR) 
2) Implementation of the 360 internal audit HIs action plan and annual HI internal audit, has taken longer than originally intended</v>
          </cell>
          <cell r="P36" t="str">
            <v>4 x 2 =  8</v>
          </cell>
          <cell r="Q36" t="str">
            <v>Medium</v>
          </cell>
          <cell r="R36" t="str">
            <v>This is one of the main ICB core aims and is embedded into all strategy and delivery plans across the ICS. Regularly discussed through the delivery group, place partnership meetings and the ICB Board</v>
          </cell>
          <cell r="S36" t="str">
            <v>Clear line-of-sight for Health Inequalities investment in the 2025/26  
Operating and Financial Plan - Final sign-off in April 2025  ICB Board
Refresh of ICB 5-year Joint Forward plan and we await the publication of the NHS 10 year plan expected May 2025
Input into the Change.NHS engagement in the 10 year health plan, implement the Plan from May 2025
 Effective Reporting of progress being made and mainstreaming in the updated Integrated Performance Report which will continued to be reviewed 6-monthly
 360 Internal Audit HI completed previously, progress report to be presented to QPIE by August 2025 
Successful Prevention accelerator bid, implementation meeting scheduled for early 2026.</v>
          </cell>
          <cell r="T36" t="str">
            <v>September 2025 - Opportunity for the ICB to express an interest in becoming a prevention accelerator.
Mar 26 - Target Operating Model developed and published with organisational change updates, move to a South Yorkshire approach from individual place leading work.
Developing Neighbourhood health models, Rotherham and Doncaster national pilot sites.   National framework published.</v>
          </cell>
          <cell r="U36" t="str">
            <v>RE-audit of the 360 work previously undertaken</v>
          </cell>
          <cell r="V36" t="str">
            <v>07/08/2024
11/11/2024
10/02/2025
31/03/2025
30/06/2025
29/09/2025
29/12/2025
27/03/2026</v>
          </cell>
          <cell r="W36">
            <v>46200</v>
          </cell>
          <cell r="X36" t="str">
            <v>Quarterly</v>
          </cell>
          <cell r="Y36" t="str">
            <v>Not overdue</v>
          </cell>
        </row>
        <row r="37">
          <cell r="A37" t="str">
            <v>2.2.</v>
          </cell>
          <cell r="B37" t="str">
            <v xml:space="preserve">The ICB is able to risk stratify its population, failure to do so may result in the ICB not being able to adequately understand the needs of our population. The use of population health management (PHM) to segment and risk stratify those with the highest needs for intervention, to enable the greatest impact and maximise efficient use of resources </v>
          </cell>
          <cell r="C37" t="str">
            <v>Dr David Crichton 
Chief Medical Officer</v>
          </cell>
          <cell r="D37" t="str">
            <v>Lisa Kell 
Barbara Coyle</v>
          </cell>
          <cell r="E37" t="str">
            <v xml:space="preserve">Quality Performance Patient Involvement Experience (QPPIE)
</v>
          </cell>
          <cell r="F37" t="str">
            <v>Accountable</v>
          </cell>
          <cell r="G37" t="str">
            <v>South Yorkshire Joint Forward Plan</v>
          </cell>
          <cell r="H37" t="str">
            <v>SY044, SY061</v>
          </cell>
          <cell r="I37" t="str">
            <v xml:space="preserve">1)Population Health and Health Inequalities  System Delivery Group (SDG)
2)Digital Research and Innovation(DRI) SDG
3)Data, Digital and Technology Oversight Group
4)System Leaders Executive
5) Eclipse PHM Steering Group
</v>
          </cell>
          <cell r="J37" t="str">
            <v xml:space="preserve">1) Data and Insights Strategy document and delivery plan
2) Place strategy and delivery plans
3) Information Governance steering group
4) Data Quality Framework 
5) SY Integrated Performance Report and Outcomes Framework - Joint Strartegic Needs Assessment (JSNA) intelligence
6) Data and Insights Strategy document and delivery plan
</v>
          </cell>
          <cell r="K37" t="str">
            <v xml:space="preserve">1) Place based Offices of Data Analytics
2) Data, Analytics, Insight in South Yorkshire (DAISY) network 
3) Place Population Health Management(PHM) or Health Inequalities groups 
4) NHSE PHM toolkit and maturity assessment                                                
5)Continuing to on-board primary care data flows across the 4 SY places </v>
          </cell>
          <cell r="L37" t="str">
            <v>2 x 2 = 4</v>
          </cell>
          <cell r="M37" t="str">
            <v>No gaps in control</v>
          </cell>
          <cell r="N37" t="str">
            <v>No gaps in assurance</v>
          </cell>
          <cell r="O37" t="str">
            <v xml:space="preserve">Our own data platform in place and establish data flows from primary care so we can link to ICB data sources and build our own risk strat models.  CAG approval to link data. Signed DSAs from practices to share data. </v>
          </cell>
          <cell r="P37" t="str">
            <v xml:space="preserve">1 x 2 = 2 </v>
          </cell>
          <cell r="Q37" t="str">
            <v>High</v>
          </cell>
          <cell r="R37" t="str">
            <v xml:space="preserve">CAG have granted us permission to use data for risk stratification purposes and our partners are using the data so we are actively using Eclipse for risk stratification.  95% of practices have access to Eclipse so can use for risk stratification purposes. </v>
          </cell>
          <cell r="S37" t="str">
            <v>No gaps identified, therefore no action required as of August 2025</v>
          </cell>
          <cell r="T37" t="str">
            <v>August 2025 - Data platform in place. CAG application was approved. Funds are in place to continue using Eclipse on a recurrent basis.  Practices are signing the DSA to share data with us. The amalgamation of the S251 application to cover all use cases of our data for both risk stratification and PHM purposes to cover all our Data sources including Primary Care, CDS and Eclipse to be completed by the end of Q2 25/26 is now complete</v>
          </cell>
          <cell r="U37" t="str">
            <v>Budget setting, reporting and monitoring.
Health and wellbeing</v>
          </cell>
          <cell r="V37" t="str">
            <v>18/10/2024
10/02/2025
27/03/2025
22/08/2025
03/10/2025</v>
          </cell>
          <cell r="W37">
            <v>46298</v>
          </cell>
          <cell r="X37" t="str">
            <v>Annually</v>
          </cell>
          <cell r="Y37" t="str">
            <v>Not overdue</v>
          </cell>
        </row>
        <row r="38">
          <cell r="A38" t="str">
            <v>2.3.1.</v>
          </cell>
          <cell r="B38" t="str">
            <v>The ICB is able to consult, involve and engage effectively with all parts of its population</v>
          </cell>
          <cell r="C38" t="str">
            <v>Cathy Winfield  
Chief Nursing Officer</v>
          </cell>
          <cell r="D38" t="str">
            <v>Katy Davison</v>
          </cell>
          <cell r="E38" t="str">
            <v xml:space="preserve">Quality Performance Patient Involvement Experience (QPPIE)
</v>
          </cell>
          <cell r="F38" t="str">
            <v>Accountable</v>
          </cell>
          <cell r="G38" t="str">
            <v>South Yorkshire Joint Forward Plan</v>
          </cell>
          <cell r="H38" t="str">
            <v>SY123</v>
          </cell>
          <cell r="I38" t="str">
            <v>Start with People: South Yorkshire - the ICB Citizen Involvement Strategy</v>
          </cell>
          <cell r="J38" t="str">
            <v>1) QPPIE
2) Involvement Team within Strategy and Partnerships</v>
          </cell>
          <cell r="K38" t="str">
            <v>1) NHS England Assurance - Involvement Annual Report; 
2) NHS England Assurance process for service change also assures our involvement approach for bigger programmes</v>
          </cell>
          <cell r="L38" t="str">
            <v>3 x 2  = 6</v>
          </cell>
          <cell r="M38" t="str">
            <v>lack of clarification around funding investment continues to pose a risk</v>
          </cell>
          <cell r="N38" t="str">
            <v>No gaps in assurance identified</v>
          </cell>
          <cell r="O38" t="str">
            <v>Confirmation of financial resource</v>
          </cell>
          <cell r="P38" t="str">
            <v>2 x 2 = 4</v>
          </cell>
          <cell r="Q38" t="str">
            <v>medium</v>
          </cell>
          <cell r="R38" t="str">
            <v>The SWP Strategy has been approved by Execs but confidence around funding investment is required.</v>
          </cell>
          <cell r="S38" t="str">
            <v>Anticipating that this will have been considered in planning for Organisational Change and will be addressed as part of future plans, which are likely to be unveiled Q1 26/27</v>
          </cell>
          <cell r="T38" t="str">
            <v>September 2025 - Due to the ongoing organisational change there has been a eelay in completing action to revisit the funding inviestment request which was due to be confirmed by end of Q2 25/26. This is now expected in Q1 26/27</v>
          </cell>
          <cell r="U38" t="str">
            <v>No</v>
          </cell>
          <cell r="V38" t="str">
            <v>30/09/2024
07/01/2025
28/03/2025
29/09/2025</v>
          </cell>
          <cell r="W38">
            <v>46110</v>
          </cell>
          <cell r="X38" t="str">
            <v>Six-Monthly</v>
          </cell>
          <cell r="Y38" t="str">
            <v>Not overdue</v>
          </cell>
        </row>
        <row r="39">
          <cell r="A39" t="str">
            <v>2.3.2.</v>
          </cell>
          <cell r="B39" t="str">
            <v xml:space="preserve">The ICB is able to engage effectively with all parts of its population to understand quality and patient experience, especially with those seldomly heard
</v>
          </cell>
          <cell r="C39" t="str">
            <v>Cathy Winfield  
Chief Nursing Officer</v>
          </cell>
          <cell r="D39" t="str">
            <v xml:space="preserve">Marianna Hargreaves
</v>
          </cell>
          <cell r="E39" t="str">
            <v xml:space="preserve">Quality Performance Patient Involvement Experience (QPPIE)
</v>
          </cell>
          <cell r="F39" t="str">
            <v>Accountable</v>
          </cell>
          <cell r="G39" t="str">
            <v>South Yorkshire Joint Forward Plan</v>
          </cell>
          <cell r="H39" t="str">
            <v>SY123</v>
          </cell>
          <cell r="I39" t="str">
            <v>Start with People ICB Involvement Strategy</v>
          </cell>
          <cell r="J39" t="str">
            <v xml:space="preserve">1) QPIE
2) Involvement Team aligned to Strategy and Partnerships
</v>
          </cell>
          <cell r="K39" t="str">
            <v xml:space="preserve">NHS England - Assurance via annual involvement report </v>
          </cell>
          <cell r="L39" t="str">
            <v>2 x 2 = 4</v>
          </cell>
          <cell r="M39" t="str">
            <v>Funding for sustainable involvement approach working with VCSE not yet secured. </v>
          </cell>
          <cell r="N39" t="str">
            <v>No gaps in assurance</v>
          </cell>
          <cell r="O39" t="str">
            <v>Recurrant funding for a sustainable involvement approach working with VCSE.</v>
          </cell>
          <cell r="P39" t="str">
            <v xml:space="preserve">1 x 2 = 2 </v>
          </cell>
          <cell r="Q39" t="str">
            <v>Medium</v>
          </cell>
          <cell r="R39" t="str">
            <v>Integration of approach with work needed to inform 10 Year Health Plan will maximise use of funding and approach and ensure we have conduits in place to those it is more difficult to hear from.</v>
          </cell>
          <cell r="S39" t="str">
            <v>1) Review proposal for approach and funding arrangements for involvement approach with VCSE by when
2) Mobilise approach and align to work to enable involvement in 10 Year Health Plan after publication - update now plan has been published</v>
          </cell>
          <cell r="T39" t="str">
            <v>April 2025 - Agreed to reconsider approach with Healthwatch and further develop potential proposal during early 2025 as the shape of the ICB changes start to become clearer.</v>
          </cell>
          <cell r="U39" t="str">
            <v>No</v>
          </cell>
          <cell r="V39" t="str">
            <v>07/01/2025
15/04/2025
13/10/2025</v>
          </cell>
          <cell r="W39">
            <v>46308</v>
          </cell>
          <cell r="X39" t="str">
            <v>Annually</v>
          </cell>
          <cell r="Y39" t="str">
            <v>Not overdue</v>
          </cell>
        </row>
        <row r="40">
          <cell r="A40" t="str">
            <v>2.4.</v>
          </cell>
          <cell r="B40" t="str">
            <v>The ICB has effective strategies to manage unwarranted variation in care and outcomes, failure to meet this may result in poorer clinical outcomes for patients in SY and widening of health inequalities.</v>
          </cell>
          <cell r="C40" t="str">
            <v xml:space="preserve">Marianna Hargreaves
</v>
          </cell>
          <cell r="D40" t="str">
            <v>Lisa Kell 
Barbara Coyle</v>
          </cell>
          <cell r="E40" t="str">
            <v xml:space="preserve">Quality Performance Patient Involvement Experience (QPPIE)
</v>
          </cell>
          <cell r="F40" t="str">
            <v>Accountable</v>
          </cell>
          <cell r="G40" t="str">
            <v>South Yorkshire Joint Forward Plan</v>
          </cell>
          <cell r="H40" t="str">
            <v>SY044, SY061</v>
          </cell>
          <cell r="I40" t="str">
            <v xml:space="preserve">1) Population Health and Health Inequalities  System Delivery Group (SDG)
2) Digital Research and Innovation(DRI) SDG
3) Data, Digital and Technology Oversight Group
4) System Leaders Executive
</v>
          </cell>
          <cell r="J40" t="str">
            <v xml:space="preserve">1) Data and Insights Strategy document and delivery plan
2) Place strategy and delivery plans
3)Information Governance steering group
4) Data Quality Framework </v>
          </cell>
          <cell r="K40" t="str">
            <v>1) External data quality audit
2) Via Place based Offices of Data Analytics
3) Data, Analytics, Insight in South Yorkshire (DAISY) network 
4) Integrated Care Partnership Board (ICP Board)</v>
          </cell>
          <cell r="L40" t="str">
            <v>2 x 2 = 4</v>
          </cell>
          <cell r="M40" t="str">
            <v>Full compliance of GP sign up to practice sharing agreements (over 95% currently signed up)</v>
          </cell>
          <cell r="N40" t="str">
            <v>Absence of a universally accepted legal framework across all GP practices undermines consistent implementation of data sharing agreements.</v>
          </cell>
          <cell r="O40" t="str">
            <v>Communication and engagement between the ICB and General Practices to increase the uptake of data sharing agreements.</v>
          </cell>
          <cell r="P40" t="str">
            <v xml:space="preserve">1 x 2 = 2 </v>
          </cell>
          <cell r="Q40" t="str">
            <v>high</v>
          </cell>
          <cell r="R40" t="str">
            <v xml:space="preserve">Data platform in place.  CAG application to have the legal basis to link data was approved.  Funds are in place to continue using Eclipse on a recurrent basis to inform variation for population segments and risk stratification. Continuing to onboard local GP data to our data platform. </v>
          </cell>
          <cell r="S40" t="str">
            <v>- Add Health Inequality (HI) metrics to Integrated Performance Report (IPR) and Outcomes Framework throughout 2025/6 (This is on track as of August 2025)</v>
          </cell>
          <cell r="T40" t="str">
            <v>August 2025 - Data platform in place, CAG application to have the legal basis to link data was approved. Funds are in place to continue using Eclipse on a recurrent basis. South Yorkshire "Insights bank" was published. Section 251 for the ICB to link and share data has been approved. - The South Yorkshire ""Insights bank"" which contains key information about patient and population insights has been launched. Improvements has been made to access data and insights via the new InSYghts platform so ICB can access data when they need it.</v>
          </cell>
          <cell r="U40" t="str">
            <v>No</v>
          </cell>
          <cell r="V40" t="str">
            <v>18/10/2024
10/02/2025                                                                        
27/03/2025
30/06/2025</v>
          </cell>
          <cell r="W40">
            <v>46203</v>
          </cell>
          <cell r="X40" t="str">
            <v>Annually</v>
          </cell>
          <cell r="Y40" t="str">
            <v>Not overdue</v>
          </cell>
        </row>
        <row r="41">
          <cell r="A41" t="str">
            <v>2.5.</v>
          </cell>
          <cell r="B41" t="str">
            <v xml:space="preserve">The ICB has an effective Operating Model and the required people with skills and capability to fulfil the organisations objectives.   the organisation will struggle to delivery the Operating Model - insufficient workforce and lack of clarity linked to organisational objectives if the require people and skillsets are not in place.  New resourcing approach which is smaller and substantive workforce with generic JD's and assignment briefs to try and facilitate agility.  </v>
          </cell>
          <cell r="C41" t="str">
            <v>Christine Joy 
Chief People Officer</v>
          </cell>
          <cell r="D41" t="str">
            <v>No delegate</v>
          </cell>
          <cell r="E41" t="str">
            <v>Board, supported by:
 - People, Workforce and Culture Committee</v>
          </cell>
          <cell r="F41" t="str">
            <v>Accountable</v>
          </cell>
          <cell r="G41" t="str">
            <v>South Yorkshire Joint Forward Plan / BAF 2023</v>
          </cell>
          <cell r="H41" t="str">
            <v>SY028, SY078
IL03</v>
          </cell>
          <cell r="I41" t="str">
            <v>1)New ICB operating model in place 
2) Workforce reports to People Workforce and Culture Committee
3) Organisational Development Plan
4) Hybrid Agile Working Approach</v>
          </cell>
          <cell r="J41" t="str">
            <v>1) Sickness Absence Management and turnover
2) Oversight by line managers, directors and NEDS.
3) Internal Workforce Report to People Workforce and Culture Committee
4) Reports to JSCF and Operational Executive</v>
          </cell>
          <cell r="K41" t="str">
            <v>1) Internal audits by agreement annually
2) CQC Well Led Assessment
3) NHS England (oversight review)</v>
          </cell>
          <cell r="L41" t="str">
            <v>3 x 3 = 9</v>
          </cell>
          <cell r="M41" t="str">
            <v>No gaps in control</v>
          </cell>
          <cell r="N41" t="str">
            <v xml:space="preserve">Being able to prioritise effectively (workload) to mobilise the workforce in the direction of the organisational priorities (aligning workforce resources to priorities)
</v>
          </cell>
          <cell r="O41" t="str">
            <v xml:space="preserve">1) Delivery of an OD programme to bring people through the change into the new (delivery of the Inspired colleague programme). 
2) Having good quality prioritisation and PDR's for all staff (objectives setting). 
3) Clear strategic alignment between all SY exec directors including Place and SY wide programmes.
4) Effective use of the QSIR methodology within the organisation as per the training delivery.   </v>
          </cell>
          <cell r="P41" t="str">
            <v>3 x 3 = 9</v>
          </cell>
          <cell r="Q41" t="str">
            <v>Medium</v>
          </cell>
          <cell r="R41" t="str">
            <v xml:space="preserve">Slightly reduced the impact following completion of RCA programme and the operating model now being live.
</v>
          </cell>
          <cell r="S41" t="str">
            <v>Ensure the operating model is embedded well - this is not a SMART action
Re-prioritise and cease work where resources reduce due to financial situation and ensure flexibility/focus of workforce to match the current priorities - this is not a SMART Action</v>
          </cell>
          <cell r="T41" t="str">
            <v>RCA programme completed
New operating model in place since 1 April 2024
Insight work is currently taking place for clinical areas</v>
          </cell>
          <cell r="U41" t="str">
            <v>Links into  ICB Budgetary Management Audit processes</v>
          </cell>
          <cell r="V41" t="str">
            <v>18/10/2024
03/03/2025</v>
          </cell>
          <cell r="W41">
            <v>45811</v>
          </cell>
          <cell r="X41" t="str">
            <v>Quarterly</v>
          </cell>
          <cell r="Y41" t="str">
            <v xml:space="preserve">-70 </v>
          </cell>
        </row>
        <row r="42">
          <cell r="A42">
            <v>2.6</v>
          </cell>
          <cell r="B42" t="str">
            <v xml:space="preserve">The ICB works collaboratively with partners in a well governed and accountable partnerships
</v>
          </cell>
          <cell r="C42" t="str">
            <v xml:space="preserve">Chris Edwards
Chief Executive
</v>
          </cell>
          <cell r="D42" t="str">
            <v>Mark Janvier 
Marianna Hargreaves</v>
          </cell>
          <cell r="E42" t="str">
            <v>ICB Board</v>
          </cell>
          <cell r="F42" t="str">
            <v>Accountable</v>
          </cell>
          <cell r="G42" t="str">
            <v>South Yorkshire Joint Forward Plan / BAF 2023</v>
          </cell>
          <cell r="H42" t="str">
            <v>SY028, SY115, SY116, SY117, SY124,  SY079, SY113, SY021, SY040, SY082, SY044, SY066</v>
          </cell>
          <cell r="I42" t="str">
            <v>1) ICB 5 year Plan
2) ICP Strategy
3) Place Plans</v>
          </cell>
          <cell r="J42" t="str">
            <v>1) Cancer Alliance
2) System Leaders Executive
3) Integrated Care Partnership
4) x4 Place Partnership Committees
5) Provider Collaboratives &amp; SY SDG Population Health and HI's</v>
          </cell>
          <cell r="K42" t="str">
            <v>1) Y&amp;H Clinical Networks
2) NEY NHSE Regional meeting</v>
          </cell>
          <cell r="L42" t="str">
            <v>2 x 3 = 6</v>
          </cell>
          <cell r="M42" t="str">
            <v>Strengthen governance between ICB and provider collaboratives</v>
          </cell>
          <cell r="N42" t="str">
            <v xml:space="preserve">Subsidiarity at Place a fundamental and underpinning principle of the of Phase 1 (to June 2023) </v>
          </cell>
          <cell r="O42" t="str">
            <v>1) Evidence that the control measures are effective
2) Effective and successful Organisational Redesigned required by the National ICB Running Cost Reduction Programme.</v>
          </cell>
          <cell r="P42" t="str">
            <v>2 x 3 = 6</v>
          </cell>
          <cell r="Q42" t="str">
            <v>Medium</v>
          </cell>
          <cell r="R42" t="str">
            <v>Organisational Change programme in response to the National ICB Running Cost Allowance Reduction programme.  
Change Programme implementation Q2 &amp; Q3 2023/4
Transition to new Operating Model Q4 2023/4
360 HI audit undertaken and action plan in place.</v>
          </cell>
          <cell r="S42" t="str">
            <v>1) Complete review of all ICB Functions as part of Phase 1 (to June 2023)
2) Organisational Change programme in response to the National ICB Running Cost Allowance Reduction programme
3) Change Programme implementation Q2 &amp; Q3 - this is in reference to RCA of 2023/4
4) Transition to new Operating Model Q4  - this is in reference to RCA of 2023/4
5) HI audit undertaken and action plan in place</v>
          </cell>
          <cell r="U42" t="str">
            <v>HI Audit</v>
          </cell>
          <cell r="V42" t="str">
            <v>22/10/2024
10/02/2025
13/10/2025
04/11/2025
02/02/2026</v>
          </cell>
          <cell r="W42">
            <v>46236</v>
          </cell>
          <cell r="X42" t="str">
            <v>Six-Monthly</v>
          </cell>
          <cell r="Y42" t="str">
            <v>Not overdue</v>
          </cell>
        </row>
        <row r="43">
          <cell r="A43" t="str">
            <v>2.7.1 - B</v>
          </cell>
          <cell r="B43" t="str">
            <v>The ICB works collaboratively with partners to improve health, care and reduce inequalities failure to meet this may result in there being an uncohesive approach to improving services and reducing inequalities</v>
          </cell>
          <cell r="C43" t="str">
            <v>Katie Calvin-Thomas
Barnsley Place Director</v>
          </cell>
          <cell r="D43" t="str">
            <v>Jamie Wike</v>
          </cell>
          <cell r="E43" t="str">
            <v>Place Committee</v>
          </cell>
          <cell r="F43" t="str">
            <v>Accountable</v>
          </cell>
          <cell r="G43" t="str">
            <v>South Yorkshire Joint Forward Plan</v>
          </cell>
          <cell r="H43" t="str">
            <v>SY028, SY115, SY116, SY117, SY124,  SY079, SY113, SY021, SY040, SY082, SY044, SY066</v>
          </cell>
          <cell r="I43" t="str">
            <v xml:space="preserve">1) Place Partnership Delivery Group
2) Place Partnership Equity and Intellignce Group 
3) Finance and Performance Group
4) PMO Arrangements and use of QSIR
5) Place Plan - 5 Goals and clear deliverables
6) Transformation Priorities for Place Partnership
7) Transformation and Delivery Work Programme
8) Joint Strategic Needs Assessment
</v>
          </cell>
          <cell r="J43" t="str">
            <v xml:space="preserve">1) Place Partnership Board and Place Committee
2) Place Quality and Patient Safety Group
3) Place SMT
</v>
          </cell>
          <cell r="K43" t="str">
            <v>1) Health and Wellbeing Board
2) Barnsley Overview and Scrutiny Committee</v>
          </cell>
          <cell r="L43" t="str">
            <v>3 x 4 = 12</v>
          </cell>
          <cell r="M43" t="str">
            <v>No gaps identified</v>
          </cell>
          <cell r="N43" t="str">
            <v>No gaps identified</v>
          </cell>
          <cell r="O43" t="str">
            <v>1) Implementation of plans HEIG monitoring impact 
2) Continuing to have oversight of the Population Health and health Inequalities data to drive priorities and inform future plans.</v>
          </cell>
          <cell r="P43" t="str">
            <v>2 x 3 = 6</v>
          </cell>
          <cell r="Q43" t="str">
            <v>Medium</v>
          </cell>
          <cell r="R43" t="str">
            <v>Partnership approach has been agreed with partners and a programme of involvement, engagement and improvement has commence linked to Local Authority arrangements for working with communities.  Programme Manager is in place leading this work on behalf of the place partnership</v>
          </cell>
          <cell r="S43" t="str">
            <v>No gaps identified, therefore no action required at this time</v>
          </cell>
          <cell r="T43" t="str">
            <v>July 2025 - Detailed delivery plans have been developed and and work is ongoing to implement the 3 strands of the programme, working with local communities to identify and address local priorities.
Sept 2025 - Plans are at implementation stage, work is taking pace in each Neighbourhood and a strengthened model of support for those people who are high intensity users of services.</v>
          </cell>
          <cell r="U43" t="str">
            <v>No</v>
          </cell>
          <cell r="V43" t="str">
            <v>25/09/2024
11/11/2024
10/02/2025
27/03/2025
30/05/2025
14/08/2025
18/09/2025
24/10/2025
12/12/2025
12/01/2026
16/02/2026  
27/03/2026</v>
          </cell>
          <cell r="W43">
            <v>46292</v>
          </cell>
          <cell r="X43" t="str">
            <v>Six-Monthly</v>
          </cell>
          <cell r="Y43" t="str">
            <v>Not overdue</v>
          </cell>
        </row>
        <row r="44">
          <cell r="A44" t="str">
            <v>2.7.1 - D</v>
          </cell>
          <cell r="B44" t="str">
            <v>The ICB works collaboratively with partners to improve health, care and reduce inequalities</v>
          </cell>
          <cell r="C44" t="str">
            <v xml:space="preserve">Anthony Fitzgerald
Doncaster / Rotherham Place Director
</v>
          </cell>
          <cell r="D44" t="str">
            <v>Ailsa Leighton</v>
          </cell>
          <cell r="E44" t="str">
            <v>Place Committee</v>
          </cell>
          <cell r="F44" t="str">
            <v>Accountable</v>
          </cell>
          <cell r="G44" t="str">
            <v>South Yorkshire Joint Forward Plan</v>
          </cell>
          <cell r="H44" t="str">
            <v>SY028, SY115, SY116, SY117, SY124,  SY079, SY113, SY021, SY040, SY082, SY044, SY066</v>
          </cell>
          <cell r="I44" t="str">
            <v>1) Doncaster Place Committee
2) Place Clinical Reference Group
3) local Clinical Quality Review Groups for DBHFT and RDASH Contracts</v>
          </cell>
          <cell r="J44" t="str">
            <v>1) SY QIPPE 
2) Doncaster PMO arrangements</v>
          </cell>
          <cell r="K44" t="str">
            <v xml:space="preserve">Health &amp; Wellbeing Board and local Scrutiny Committee </v>
          </cell>
          <cell r="L44" t="str">
            <v>3 x 3 = 9</v>
          </cell>
          <cell r="M44" t="str">
            <v xml:space="preserve"> - Sufficient funding and workforce</v>
          </cell>
          <cell r="N44" t="str">
            <v xml:space="preserve">No gaps in assurance identified
</v>
          </cell>
          <cell r="O44" t="str">
            <v>Bringing together all HI leads in Doncaster to maximise the opportunity</v>
          </cell>
          <cell r="P44" t="str">
            <v>2 x 3 = 6</v>
          </cell>
          <cell r="Q44" t="str">
            <v>High</v>
          </cell>
          <cell r="R44" t="str">
            <v>Formal and informal forums are in place across Doncaster, to ensure that partners come together at place. A specific health inequalities post is in place to ensure a place based focus on health inequalities impact specifically.</v>
          </cell>
          <cell r="S44" t="str">
            <v>Await further guidance regarding financial position following recent government announcement to reduce ICB running costs by 50%, by Q3 25/26</v>
          </cell>
          <cell r="T44" t="str">
            <v xml:space="preserve">September 2025:Alongside the formal committee, Doncaster has a place based Health Inequalities lead - the key function of this post is to help ensure a common understanding of the issues faced in Doncaster and to drive action across the partnership to reduce local health inequalities and focus on our Core 20 plus 5.
 Doncaster has been successful in becoming one of the National Neighbourhood Health Implementation Programme areas, and our local plan has a significant focus on decreasing health inequalities; the Health Inequalities role also continues to be commissioned across Doncaster place.  
March 2026 - significant work continues on our Neighbourhood approach, with prototype neighbourhoods and population cohorts having been identified.decreasing health inequalities; the Health Inequalities role also continues to be commissioned across Doncaster place;  
</v>
          </cell>
          <cell r="U44" t="str">
            <v>No</v>
          </cell>
          <cell r="V44" t="str">
            <v>30/09/2024
24/11/2024
28/03/2025
25/09/2025
29/09/2025
01/04/2026</v>
          </cell>
          <cell r="W44">
            <v>46204</v>
          </cell>
          <cell r="X44" t="str">
            <v>Six-Monthly</v>
          </cell>
          <cell r="Y44" t="str">
            <v>Not overdue</v>
          </cell>
        </row>
        <row r="45">
          <cell r="A45" t="str">
            <v>2.7.1 - R</v>
          </cell>
          <cell r="B45" t="str">
            <v>The ICB works collaboratively with partners to improve health, care and reduce inequalities</v>
          </cell>
          <cell r="C45" t="str">
            <v xml:space="preserve">Anthony Fitzgerald
Doncaster / Rotherham Place Director
</v>
          </cell>
          <cell r="D45" t="str">
            <v xml:space="preserve">Claire Smith
</v>
          </cell>
          <cell r="E45" t="str">
            <v>Place Committee</v>
          </cell>
          <cell r="F45" t="str">
            <v>Accountable</v>
          </cell>
          <cell r="G45" t="str">
            <v>South Yorkshire Joint Forward Plan</v>
          </cell>
          <cell r="H45" t="str">
            <v>SY028, SY115, SY116, SY117, SY124,  SY079, SY113, SY021, SY040, SY082, SY044, SY066</v>
          </cell>
          <cell r="I45" t="str">
            <v>1) Rotherham Health and Care Place Plan details plans and is overseen by the Rotherham place board and the Health and Wellbeing board. 
2) Plan is also signed off by all statutory partners, VAR and Connect Healthcare.</v>
          </cell>
          <cell r="J45" t="str">
            <v xml:space="preserve">1) Rotherham Place ICB board sub committee. alongside the Place Plan there is a Population Health and Inequalities strategy developed through a steering group chaired by the public health Director and Deputy Place Director ICB - an action plan is monitored through this group and the Place Board / H&amp;WB. </v>
          </cell>
          <cell r="K45" t="str">
            <v>Rotherham Health and Welbeing Board</v>
          </cell>
          <cell r="L45" t="str">
            <v>3 x 4 = 12</v>
          </cell>
          <cell r="M45" t="str">
            <v>None identified</v>
          </cell>
          <cell r="N45" t="str">
            <v>None identified</v>
          </cell>
          <cell r="O45" t="str">
            <v xml:space="preserve">1)Delivery of Place Plan priorities and our Health Inequalities Strategy - action plan. Agreement on what Place Board looks like once changes have been implemented to meet the new ICB model
2)Delivery of key priorities with the H&amp;WB strategy
3)Continually holding partners to account for decisions made that impact our population 
4)Working in continued collaboration taking appropriate business through Place </v>
          </cell>
          <cell r="P45" t="str">
            <v>2 x 3 = 6</v>
          </cell>
          <cell r="Q45" t="str">
            <v>Medium</v>
          </cell>
          <cell r="R45" t="str">
            <v>Partnership approach and collaboration is well established and embedded in our Place governance however, the financial positions of organisations pose a risk to ensuring we work in collaboration to ensure health inequalities are addressed</v>
          </cell>
          <cell r="S45" t="str">
            <v>No gaps identified, no action required</v>
          </cell>
          <cell r="T45" t="str">
            <v>January 2025 - recommendation for this risk to be SY Wide
April 2025 -  Revision of health and care place plan, currently ongoing, to be completed by May 2025</v>
          </cell>
          <cell r="U45" t="str">
            <v>Audit outcomes, experience and access</v>
          </cell>
          <cell r="V45" t="str">
            <v>07/10/2024
11/11/2024
16/12/2024
06/01/2025
30/01/2025
03/03/2025
04/04/2025
06/05/2025
10/06/2025
14/07/2025
18/08/2025
21/08/2025
22/09/2025
01/10/2025
03/11/2025
04/11/2025
08/12/2025
16/02/2026</v>
          </cell>
          <cell r="W45">
            <v>46250</v>
          </cell>
          <cell r="X45" t="str">
            <v>Six-Monthly</v>
          </cell>
          <cell r="Y45" t="str">
            <v>Not overdue</v>
          </cell>
        </row>
        <row r="46">
          <cell r="A46" t="str">
            <v>2.7.1 - S</v>
          </cell>
          <cell r="B46" t="str">
            <v>The ICB works collaboratively with partners to improve health, care and reduce inequalities</v>
          </cell>
          <cell r="C46" t="str">
            <v>Emma Latimer  
Sheffield Place Director</v>
          </cell>
          <cell r="D46" t="str">
            <v>Ian Atkinson</v>
          </cell>
          <cell r="E46" t="str">
            <v>Place Committee</v>
          </cell>
          <cell r="F46" t="str">
            <v>Accountable</v>
          </cell>
          <cell r="G46" t="str">
            <v>South Yorkshire Joint Forward Plan</v>
          </cell>
          <cell r="H46" t="str">
            <v>SY028, SY115, SY116, SY117, SY124,  SY079, SY113, SY021, SY040, SY082, SY044, SY066</v>
          </cell>
          <cell r="I46" t="str">
            <v>1) Sheffield Health and Care Place Plan details plans and is overseen by the Sheffield place board and the Health and Wellbeing board. 
2) Plan is also signed off by all statutory partners, VAR and Connect Healthcare</v>
          </cell>
          <cell r="J46" t="str">
            <v xml:space="preserve">1) Sheffield Place ICB board sub committee. 
2) Alongside the Place Plan there is a Population Health and Inequalities strategy developed through a steering group chaired by the public health Director and Deputy Place Director ICB - an action plan is monitored through this group and the Place Board / H&amp;WB. </v>
          </cell>
          <cell r="K46" t="str">
            <v>Sheffield Health and Wellbeing Board</v>
          </cell>
          <cell r="L46" t="str">
            <v>3 x 4 = 12</v>
          </cell>
          <cell r="M46" t="str">
            <v xml:space="preserve">Collaborative approach to ensuring improvements in outcomes for people with a continued focus on monitoring performance </v>
          </cell>
          <cell r="N46" t="str">
            <v xml:space="preserve">Continued assurance that organisations are feeding decisions/reviews of services through to Place Board with a shared understanding of the EQIA </v>
          </cell>
          <cell r="O46" t="str">
            <v xml:space="preserve">1)Delivery of Place Plan priorities and our Health Inequalities Strategy - action plan.
2)Delivery of key priorities with the H&amp;WB strategy
3)continually holding partners to account for decisions made that impact our population 
4) working in continued collaboration taking appropriate business through Place 
</v>
          </cell>
          <cell r="P46" t="str">
            <v>2 x 3 = 6</v>
          </cell>
          <cell r="Q46" t="str">
            <v>Medium</v>
          </cell>
          <cell r="R46" t="str">
            <v>Partnership approach and collaboration is well established and embedded in our Place governance however, the financial positions of organisations pose a risk to ensuring we work in collaboration to ensure health inequalities are addressed</v>
          </cell>
          <cell r="S46" t="str">
            <v>Deliver the Sheffield health and care place plan</v>
          </cell>
          <cell r="T46" t="str">
            <v>None at this time</v>
          </cell>
          <cell r="U46" t="str">
            <v>Audit outcomes, experience and access</v>
          </cell>
          <cell r="V46" t="str">
            <v>25/09/2024
02/12/2024
06/01/2025
24/03/2025
12/05/2025
10/11/2025</v>
          </cell>
          <cell r="W46">
            <v>45787</v>
          </cell>
          <cell r="X46" t="str">
            <v>Six-Monthly</v>
          </cell>
          <cell r="Y46" t="str">
            <v>Not overdue</v>
          </cell>
        </row>
        <row r="47">
          <cell r="A47">
            <v>2.8</v>
          </cell>
          <cell r="B47" t="str">
            <v xml:space="preserve">Maternity services are working well, failure to achieve this may result in not delivering against the 3 year delivery plan for maternity and neonatal services
</v>
          </cell>
          <cell r="C47" t="str">
            <v>Cathy Winfield  
Chief Nursing Officer</v>
          </cell>
          <cell r="D47" t="str">
            <v>Jodie Deadman</v>
          </cell>
          <cell r="E47" t="str">
            <v>System Leadership Executive Group</v>
          </cell>
          <cell r="F47" t="str">
            <v>Accountable</v>
          </cell>
          <cell r="G47" t="str">
            <v>South Yorkshire Joint Forward Plan</v>
          </cell>
          <cell r="H47" t="str">
            <v>No link</v>
          </cell>
          <cell r="I47" t="str">
            <v xml:space="preserve">1) Managed through the Local Maternity and Neonatal System (LMNS) 
2) Effective system-wide assurance processes to oversee delivery and support implementation of the 3 year delivery plan for maternity and neonatal services
3) Effective delivery management processes at place including internal ICB escalation and system level oversight
4) Effective patient experience and engagement process to support delivery by Maternity and Neonatal Voices Partnerships (MNVPs) and VCSE partners
5 Monitoring through: LMNS Board / Perinatal Quality Surveillance Group  
6) Alignment to place, Mental Health, Population Health and CYP  
</v>
          </cell>
          <cell r="J47" t="str">
            <v xml:space="preserve">1) Senior Leadership Executive
2) System Quality Group (SQG)
3) QPPIE
4) ICB Board
</v>
          </cell>
          <cell r="K47" t="str">
            <v xml:space="preserve">1) NHSE - North East and Yorkshire Maternity and Neonatal Strategic Delivery Board 
2) NHS E North East and Yorkshire Regional Perinatal Quality Surveillence
3) NHS E regional quality group  - inclusive of CQC / NMC / GMC / NHS Resolution / Royal College of Midwives / MNSI  
4) CQC 
5) Maternity Newborn Safety Investigations (MNSI)
</v>
          </cell>
          <cell r="L47" t="str">
            <v>3 x 4 = 12</v>
          </cell>
          <cell r="M47" t="str">
            <v>Need for a nursing and midwifery strategy at ICB Level 
Potential of financial impacts on the medical and midwifery workforce as a result of proposed 50% reduction to ICB running costs</v>
          </cell>
          <cell r="N47" t="str">
            <v>Revision of reporting mechanisms for Perinatal Quality Surveillence Model (PQSM) to align to the three year delivery plan 
Revision of Maternity and Neonatal Voices Partnership (MNVP) model - sustainability and broader outreach, including themes from the Maternity and Neonatal Independent Senior Advocate 
Continuity offer for vulnerable groups in the absence of midwifery continuity of care</v>
          </cell>
          <cell r="O47" t="str">
            <v>1)Personalised care &amp; support planning 
2)Implementation of equity &amp; equality action plan
3)Workforce strategy &amp; redesign (retention &amp; continuity of carer)
4)Implementation of perinatal quality surveillance model
5) New service developments – eg family hubs, optimise neonatal service delivery</v>
          </cell>
          <cell r="P47" t="str">
            <v>3 x 3 = 9</v>
          </cell>
          <cell r="Q47" t="str">
            <v>Medium</v>
          </cell>
          <cell r="R47" t="str">
            <v>Equity and Equality action plan in place
3 year delivery plan
Quarterly review of deliverables and evidence required</v>
          </cell>
          <cell r="S47" t="str">
            <v>1)Ongoing discussions from specific midwifery point of view; centralised recruitment of newly qualified midwives and standardised preceptorship package resulting in providers reaching midwifery establishment. Multi disciplinary training across perinatal teams undertaken throughout  2025/6. Obstetric workforce tool is anticipated from Royal College of Obstetrics and Gynaecology (RCOG) by end of 2025/6.
2)Submission of financial plan, based on current known budget, awaiting decision which may be delayed owed to the government announcement re: ICB running cost reductions.
3)Current PQSM fully embedded - new model expected relating to the government announcement re: ICB running cost reductions
4)sustainability and broader outreach, including themes from the Maternity and Neonatal Independent Senior Advocate (MNISA) - Pilot roles are in place, currently being evaluated. MNVP model is a local evaluation which produced recommendations in July 2025. MNISA is a national evaluation due to conclude in October 2025. Current posts to be reviewed, on result of the evaluations.
5) All providers have different variations of vulnerabilities teams in post with plans in place to implement enhanced midwifery continuity of carer, subject to funding which may be delayed owed to the government announcement re: ICB running cost reductions. New service commissioned to provide holistic early intervention to the most vulnerable women in targeted communities across South Yorkshire. Pilot runs until March 2026 to be evaluated subject to the government announcement re: ICB running cost reductions.</v>
          </cell>
          <cell r="T47" t="str">
            <v>March 2025
Progress updates on Equity and Equality Plan Published 
As at Q3 all providers between 89 - 97% fully implemented on saving babies lives 
Assurance visits with each provider concluded - outputs to LMNS Board in May 2025
3 out of 4 providers compliant with all 10 safety actions for CNST  (1 provider compliant with 9 out of 10 with action plan in place)
December 2025 - At Q2 25/26 providers are between 93-99% fully implemented on SBL. Assurance visits will be led by NHS England aligned to the new Model ICB / Region. All providers in SY were compliant with all 10 safety actions in year 6 (24/25) (NHS Resolution accepted one providers mitigation and awarded full compliance) 
All providers are on track to achieve all 10 safety actions in year 7 (25/26)</v>
          </cell>
          <cell r="U47" t="str">
            <v>No</v>
          </cell>
          <cell r="V47" t="str">
            <v>28/10/2024
07/01/2025
06/03/2025
28/03/2025
16/12/2025</v>
          </cell>
          <cell r="W47" t="str">
            <v xml:space="preserve">16/03/2026
</v>
          </cell>
          <cell r="X47" t="str">
            <v>Quarterly</v>
          </cell>
          <cell r="Y47" t="str">
            <v>Not overdue</v>
          </cell>
        </row>
        <row r="48">
          <cell r="A48">
            <v>2.9</v>
          </cell>
          <cell r="B48" t="str">
            <v>Mental health services are improving focussing specifically on delivery of operational planning requirements and Core20Plus5:
Active Inappropriate Adult Acute Mental Health Out of Area Placements (OAPs) - Ambition is 0 OAPs 
NHS Talking Therapies for anxiety and depression - number of adults and older adults receiving a course of treatment and those achieving reliable recovery and improvement – Ambition is around 19,407 contacts
Reliable recovery rate for those completing a course of treatment and meeting caseness - Ambition is a minimum of 48%
Reliable improvement rate for those completing a course of treatment - Ambition is a minimum of 67%
Estimated Diagnosis Rate for People with Dementia - No changes to previous, ambition remains 66.7%
Access to Children and Young People’s Mental Health Services – Ambition is 20,448 contacts
Access to Transformed Community Mental Health Services for Adults and Older Adults with Severe Mental Illnesses – Ambition is 10,172 
Women Accessing Specialist Community Perinatal Mental Health Services  - Ambition is 1591 contacts 
People with severe mental illness receiving a full annual physical health check – ambition is 60% in 2024/25 with a stretch target of 75% of people on SMI registers receive a full annual physical health check.
For Core20Plus5 - the focus is on CYP access and people with SMI</v>
          </cell>
          <cell r="C48" t="str">
            <v>Sarah Perkins
Director of Transformation and Delivery</v>
          </cell>
          <cell r="D48" t="str">
            <v>Kelly Glover</v>
          </cell>
          <cell r="E48" t="str">
            <v>System Leadership Executive Group</v>
          </cell>
          <cell r="F48" t="str">
            <v>Accountable</v>
          </cell>
          <cell r="G48" t="str">
            <v>South Yorkshire Joint Forward Plan</v>
          </cell>
          <cell r="H48" t="str">
            <v>SY040, SY082, SY066, SY106</v>
          </cell>
          <cell r="I48" t="str">
            <v>1) Development and implementation of effective system-wide and Place Operational Plans to deliver LTP objectives, planning objectives and Core20Plus5 requirements
2) Effective delivery management processes at place including internal ICB escalation and system level oversight
3) Effective patient experience and engagement process to support delivery undertaken by VCSE partner
4) Place Committees
5) MHLDA SDG
6) MHLDA Provider Collab
7) Specialist MH Provider Collab
8) LMNS
9) UEC Alliance</v>
          </cell>
          <cell r="J48" t="str">
            <v>1) ICB Place Committees
2) MHLDDA SDG
3) Senior Leadership Executive
4) Operational Executive
5) Board</v>
          </cell>
          <cell r="K48" t="str">
            <v>NHSE Assurance process</v>
          </cell>
          <cell r="L48" t="str">
            <v>3x4 = 12</v>
          </cell>
          <cell r="M48" t="str">
            <v>Sufficient Funding and Workforce</v>
          </cell>
          <cell r="N48" t="str">
            <v>No gaps identified at this current time</v>
          </cell>
          <cell r="O48" t="str">
            <v>1)Perinatal, maternal mental health – access and improvement of MMHS offer, implementation of loss pilot
2)Children and young people’s mental health - access and waiting times standards routinely achieved
3)Urgent and emergency care - core focus on reduction of CRFD, improved flow and reduced OAPs and increase in community alternatives, focus on reduction of death by suicide
4)Community mental health transformation including EIP and IPS becoming fully transformed
5)NHS Talking Therapies employment advice pilots implemented and delivering and NHS TT skill mix reviewed in line with new guidance
6)Physical health checks for people with SMI programme given renewed vigour and applied in place
7)Inpatient quality transformation programme outputs from development of 3 year plan in place</v>
          </cell>
          <cell r="P48" t="str">
            <v>3 x 3 = 9</v>
          </cell>
          <cell r="Q48" t="str">
            <v>Medium</v>
          </cell>
          <cell r="R48" t="str">
            <v xml:space="preserve">The collaboratives, ICB programmes and places are working to clarify who is leading what to ensure clarity around what the priorities are across the system and who is leading and contributing to which elements. Data is flowing again to the MHSDS indicating improvements in access for CYP and PMH (but still not achieving LTP goals), overachievement of the CMHT metrics and dementia diagnosis and achievement of SMI physical health checks targets. Concerns remain regarding delivery of the NHS TT metrics and the OAPs position.  </v>
          </cell>
          <cell r="S48" t="str">
            <v>Await the proposed financial plan to fund service and staffing following the recent government announcement regarding NHS Cost reductions, by Q4 25/26</v>
          </cell>
          <cell r="T48" t="str">
            <v xml:space="preserve">February 2026 - achievement of mental health metrics is being sustained other than in OAPs and access to NHS Talking Therapies. Providers have Exec led programmes of work to reduce OAPs and NHSTT has received additional Autumn Statement funding to improve productivity and communications about services. </v>
          </cell>
          <cell r="U48" t="str">
            <v>No</v>
          </cell>
          <cell r="V48" t="str">
            <v>03/10/2024
06/01/2025
03/03/2025
25/03/2025
06/05/2025
10/06/2025
14/07/2025
21/08/2025
22/09/2025
04/11/2025
09/02/2026</v>
          </cell>
          <cell r="W48">
            <v>46151</v>
          </cell>
          <cell r="X48" t="str">
            <v>Quarterly</v>
          </cell>
          <cell r="Y48" t="str">
            <v>Not overdue</v>
          </cell>
        </row>
        <row r="49">
          <cell r="A49">
            <v>2.11</v>
          </cell>
          <cell r="B49" t="str">
            <v xml:space="preserve">Integrated pharmacy and medicines optimisation is working to ensure the appropriate and safe use of prescribed products. </v>
          </cell>
          <cell r="C49" t="str">
            <v>Dr David Crichton 
Chief Medical Officer</v>
          </cell>
          <cell r="D49" t="str">
            <v>Alex Molyneux</v>
          </cell>
          <cell r="E49" t="str">
            <v>QPIE</v>
          </cell>
          <cell r="F49" t="str">
            <v>Accountable</v>
          </cell>
          <cell r="G49" t="str">
            <v>South Yorkshire Joint Forward Plan</v>
          </cell>
          <cell r="H49" t="str">
            <v>SY112; IL09</v>
          </cell>
          <cell r="I49" t="str">
            <v>"SY Medicines Optimisation Medicines Safety group and MSO, IMOC commissioning process, specific treatment and pathway review groups Medicines Value Group</v>
          </cell>
          <cell r="J49" t="str">
            <v>Meds Opt Transform and Delivery group oversight, QPIE, SY Formal Executive Group.</v>
          </cell>
          <cell r="K49" t="str">
            <v>NHSE Safety Alerts</v>
          </cell>
          <cell r="L49" t="str">
            <v>2 x 4 = 8</v>
          </cell>
          <cell r="M49" t="str">
            <v>"Implementing the Medicines Optimisation transformation programme. Freezing of recruitment and extra hours. Freezing of transformation programme."</v>
          </cell>
          <cell r="N49" t="str">
            <v>Strengthened financial reporting.
Continued need to re-prioritise transformation programmes.</v>
          </cell>
          <cell r="O49" t="str">
            <v>"Reduce avoidable harm from medicines Antimicrobial resistance priorities Pharmacy expertise Embed pharmacy / medicines optimisation clinical workstreams Collaboration to reduce unwarranted variation and duplication Pharmacy workforce transformation Medicines value initiatives. cross SY co-operation" Clarification in the 10year Health plan of longer term direction.</v>
          </cell>
          <cell r="P49" t="str">
            <v>3 x 4 = 12</v>
          </cell>
          <cell r="Q49" t="str">
            <v>Medium</v>
          </cell>
          <cell r="R49" t="str">
            <v>These processes are either operational, there is a slight risk with MO restructure that issues could be delayed or missed.</v>
          </cell>
          <cell r="S49" t="str">
            <v>Addressing the gaps requires a different organisational position at this point in time; await further communication and plans following recent announcement to proposed running cost reductions expected to be finalised by end of Q3 25/26</v>
          </cell>
          <cell r="T49" t="str">
            <v>06.12.24 - Collective action re Meds Op transformation pause progress.
16.12.24 - 10 medicines related items have been identified for focus and development to take forward.
18.12.24 - Different implementation of collective action across 3/4 different LMCs increases differences in experience, access and outcomes. This is having an effect across SY
13.03.25 - ICB cost reduction programme halted further development.
6.10.25 - The organisation is reviewing current invest to save plans and look at further opportunities.</v>
          </cell>
          <cell r="U49" t="str">
            <v>Medicines Management data</v>
          </cell>
          <cell r="V49" t="str">
            <v>06/12/2024
16/12/2024
18/12/2024
07/07/2025
06/10/2025
05/01/2026</v>
          </cell>
          <cell r="W49">
            <v>46117</v>
          </cell>
          <cell r="X49" t="str">
            <v>Quarterly</v>
          </cell>
          <cell r="Y49" t="str">
            <v>Not overdue</v>
          </cell>
        </row>
        <row r="50">
          <cell r="A50" t="str">
            <v>2.12 - B</v>
          </cell>
          <cell r="B50" t="str">
            <v>Integrated services supporting people in the community are working well failure to meet this may result in more people requiring hospital care as a result of their needs not being met in the Community</v>
          </cell>
          <cell r="C50" t="str">
            <v>Katie Calvin-Thomas
Barnsley Place Director</v>
          </cell>
          <cell r="D50" t="str">
            <v>Jamie Wike</v>
          </cell>
          <cell r="E50" t="str">
            <v>ICB Place Committees</v>
          </cell>
          <cell r="F50" t="str">
            <v>Accountable</v>
          </cell>
          <cell r="G50" t="str">
            <v>South Yorkshire Joint Forward Plan</v>
          </cell>
          <cell r="H50" t="str">
            <v xml:space="preserve">SY069, SY107, IL17 </v>
          </cell>
          <cell r="I50" t="str">
            <v xml:space="preserve">1)Place Partnership Delivery Group
2)Performance and Quality Reports
3) Contract Management Arrangements
4) Place Plan - 5 Goals and clear deliverables
5) Transformation Priorities for Place Partnership
6) Transformation and Delivery Work Programme
</v>
          </cell>
          <cell r="J50" t="str">
            <v>Place Partnership Board and Place Committee</v>
          </cell>
          <cell r="K50" t="str">
            <v>CQC Inspection and oversight of regulated services</v>
          </cell>
          <cell r="L50" t="str">
            <v>3 x 3 = 9</v>
          </cell>
          <cell r="M50" t="str">
            <v xml:space="preserve">Intermediate care - Long term sustainable model for bed and community based IC service
</v>
          </cell>
          <cell r="N50" t="str">
            <v>No gaps identified</v>
          </cell>
          <cell r="O50" t="str">
            <v>1)Integrated neighbourhood team  - further development and expansion into broader Neighbourhood Health offer
2)Palliative and end of life care</v>
          </cell>
          <cell r="P50" t="str">
            <v>2 x 3 = 6</v>
          </cell>
          <cell r="Q50" t="str">
            <v>High</v>
          </cell>
          <cell r="R50" t="str">
            <v>Integrated Community Neighbourhood Teams model in place for community healthcare and strong partnership arrangements with adult social care and primary care.</v>
          </cell>
          <cell r="S50" t="str">
            <v>No gaps identified, therefore no action required at this time</v>
          </cell>
          <cell r="T50" t="str">
            <v>Sept 2025 - Proposals to move to new IC model being finalised with some amends to bed base model as it has not been feasible to create a single site 50 bed unit.
Partnership discussions are ongoing around the Barnsley approach to Neighbourhood Health and taking forward to proposals that were included in the Barnsley application to be part of the NNHIP which whilst unsuccessful, partners still want to progress.
Positive results being seen around work across health and social care including out of hours response, frailty clinics in Neighbourhoods, support in Care Homes etc.
Jan 2026 - Revised model for the bedded element of Intermediate Care implemented from 17 Nov 2025 improving efficacy of rehab offer and reducing readmissions to hospital from the pathway.</v>
          </cell>
          <cell r="U50" t="str">
            <v>No</v>
          </cell>
          <cell r="V50" t="str">
            <v>25/09/2024
11/11/2025
10/02/2025
27/03/2025
30/05/2025
04/07/2025
14/08/2025
18/09/2025
24/10/2025
12/12/2025
12/01/2026  
16/02/2026  
27/03/2026</v>
          </cell>
          <cell r="W50">
            <v>46292</v>
          </cell>
          <cell r="X50" t="str">
            <v>Six-monthly</v>
          </cell>
          <cell r="Y50" t="str">
            <v>Not overdue</v>
          </cell>
        </row>
        <row r="51">
          <cell r="A51" t="str">
            <v>2.12 - D</v>
          </cell>
          <cell r="B51" t="str">
            <v>Integrated services supporting people in the community are working well</v>
          </cell>
          <cell r="C51" t="str">
            <v xml:space="preserve">Anthony Fitzgerald
Doncaster / Rotherham Place Director
</v>
          </cell>
          <cell r="D51" t="str">
            <v>Ailsa Leighton</v>
          </cell>
          <cell r="E51" t="str">
            <v>ICB Place Committees</v>
          </cell>
          <cell r="F51" t="str">
            <v>Accountable</v>
          </cell>
          <cell r="G51" t="str">
            <v>South Yorkshire Joint Forward Plan</v>
          </cell>
          <cell r="H51" t="str">
            <v xml:space="preserve">SY069, SY107, IL17  </v>
          </cell>
          <cell r="I51" t="str">
            <v>1) Doncaster place Committee
2) Place Clinical Reference Group
3) Local Clinical Quality Review Group for DBHFT and RDASH contracts
4) SY Palliative Care forum (tbc)</v>
          </cell>
          <cell r="J51" t="str">
            <v>1) QPiE
2) Doncaster PMO arrangements</v>
          </cell>
          <cell r="K51" t="str">
            <v>1) Place Health &amp; Wellbeing Board and local Scrutiny Committee
2) Integrated neighbourhood team development
3) Community services transformation
4) Urgent community response
5) Palliative and end of life care</v>
          </cell>
          <cell r="L51" t="str">
            <v>4 x 3 = 12</v>
          </cell>
          <cell r="M51" t="str">
            <v xml:space="preserve">Specific focus on how primary care and community services work together, this will be enhanced following success in accessing opportunities within the national neighbourhood health implementation programme. </v>
          </cell>
          <cell r="N51" t="str">
            <v>No gaps in assurance identified</v>
          </cell>
          <cell r="O51" t="str">
            <v>1)Further Integrated neighbourhood team development
2)Community services transformation
3)Urgent community response
4) Palliative and end of life care</v>
          </cell>
          <cell r="P51" t="str">
            <v>3 x 3 = 9</v>
          </cell>
          <cell r="Q51" t="str">
            <v>Medium</v>
          </cell>
          <cell r="R51" t="str">
            <v>Oversight of community based services if primarily via the Doncaster Place Committee. The developing Thrive model for Doncaster has an associated governance framework that draws on wider Team Doncaster partners</v>
          </cell>
          <cell r="S51" t="str">
            <v>1)PCN workshops and integrated neighbourhood workshops to continue to take place throughout 2025/6
2) Continuation Thrive Learning and Development Network to meet quarterly throughout 2025/6</v>
          </cell>
          <cell r="T51" t="str">
            <v xml:space="preserve">January 2026- Doncaster is now a National Neighbourhood Health Pilot and significant work is underway to progress our approach to health and care in neighbourhoods, building on the Thrive model and working closely with our PCNs.  We expect to test an approach in each PCN during the coming months, tailored to local needs.  </v>
          </cell>
          <cell r="U51" t="str">
            <v>No</v>
          </cell>
          <cell r="V51" t="str">
            <v>14/10/2024
24/11/2024
17/03/2025
28/03/2025
16/07/2025
25/09/2025
05/01/2026</v>
          </cell>
          <cell r="W51">
            <v>46117</v>
          </cell>
          <cell r="X51" t="str">
            <v>Quarterly</v>
          </cell>
          <cell r="Y51" t="str">
            <v>Not overdue</v>
          </cell>
        </row>
        <row r="52">
          <cell r="A52" t="str">
            <v>2.12 - R</v>
          </cell>
          <cell r="B52" t="str">
            <v>Integrated services supporting people in the community are working well</v>
          </cell>
          <cell r="C52" t="str">
            <v xml:space="preserve">Anthony Fitzgerald
Doncaster / Rotherham Place Director
</v>
          </cell>
          <cell r="D52" t="str">
            <v xml:space="preserve">Claire Smith
</v>
          </cell>
          <cell r="E52" t="str">
            <v>ICB Place Committees</v>
          </cell>
          <cell r="F52" t="str">
            <v>Accountable</v>
          </cell>
          <cell r="G52" t="str">
            <v>South Yorkshire Joint Forward Plan</v>
          </cell>
          <cell r="H52" t="str">
            <v xml:space="preserve">SY069, SY107, IL17 </v>
          </cell>
          <cell r="I52" t="str">
            <v xml:space="preserve">1) Rotherham Health and Care Place Plan details plans and is overseen by the Rotherham place board and the Health and Wellbeing board. 
2) Plan is also signed off by all statutory partners, VAR and Connect Healthcare. 
3) Better Care Fund utilised appropriately with governance arrangements in place to promote integrated services in H&amp;SC - positive feedback from our submissions annually
</v>
          </cell>
          <cell r="J52" t="str">
            <v>Rotherham Place ICB board sub committee audit taken place and slight amends to governance enacted</v>
          </cell>
          <cell r="K52" t="str">
            <v>Rotherham Health and Welbeing Board</v>
          </cell>
          <cell r="L52" t="str">
            <v>3 x 4 = 12</v>
          </cell>
          <cell r="M52" t="str">
            <v xml:space="preserve">Gaps in control are currently unknown </v>
          </cell>
          <cell r="N52" t="str">
            <v>Gaps in assurance are currently unknown</v>
          </cell>
          <cell r="O52" t="str">
            <v>1)Integrated neighbourhood team development - now one of national pilot sites 
2)Community services transformation
3)Urgent community response
4)Palliative and end of life care</v>
          </cell>
          <cell r="P52" t="str">
            <v>2 x 3 = 6</v>
          </cell>
          <cell r="Q52" t="str">
            <v>Medium</v>
          </cell>
          <cell r="R52" t="str">
            <v xml:space="preserve">workforce and appropriate training are key to ability to integrate services, there are risk in the system due to gaps in our collective workforce. work is underway to support roles that can span both H&amp;SC
</v>
          </cell>
          <cell r="S52" t="str">
            <v xml:space="preserve">Actions agreed for community review in terms of BAU for trust and those that require Place partner support or leading through transformation workstreams throughout Q3 and Q4 25/26 - Community review work continues and has now been extended to cover CYP. </v>
          </cell>
          <cell r="T52" t="str">
            <v>November 2025-  actions agreed for community review in terms of BAU for trust and those that require Place partner support or leading through transformation workstreams throughout Q3 and Q4 25/26</v>
          </cell>
          <cell r="U52" t="str">
            <v>No</v>
          </cell>
          <cell r="V52" t="str">
            <v>07/10/2024
11/11/2024
16/12/2024
06/01/2025
30/07/2025
03/03/2025
04/04/2025
06/05/2025
10/06/2025
14/07/2025
18/08/2025
21/08/2025
22/09/2025
01/10/2025
03/11/2025
04/11/2025
08/12/2025
12/01/2026
16/02/2026</v>
          </cell>
          <cell r="W52">
            <v>46250</v>
          </cell>
          <cell r="X52" t="str">
            <v>Six-monthly</v>
          </cell>
          <cell r="Y52" t="str">
            <v>Not overdue</v>
          </cell>
        </row>
        <row r="53">
          <cell r="A53" t="str">
            <v>2.12 - S</v>
          </cell>
          <cell r="B53" t="str">
            <v>Integrated services supporting people in the community are working well</v>
          </cell>
          <cell r="C53" t="str">
            <v>Emma Latimer  
Sheffield Place Director</v>
          </cell>
          <cell r="D53" t="str">
            <v>Ian Atkinson</v>
          </cell>
          <cell r="E53" t="str">
            <v>ICB Place Committees</v>
          </cell>
          <cell r="F53" t="str">
            <v>Accountable</v>
          </cell>
          <cell r="G53" t="str">
            <v>South Yorkshire Joint Forward Plan</v>
          </cell>
          <cell r="H53" t="str">
            <v xml:space="preserve">SY069, SY107, IL17 </v>
          </cell>
          <cell r="I53" t="str">
            <v xml:space="preserve">1) Sheffield HCP Board has a main priority to focus on Health Inclusion and Health Inequalities, initial work targeted the North East of the City, we are now looking revie the next 10 neighbourhoods that we wish to work in. 
2) The governance for this area of work is within the HCP board - To note other work takes places on integration outside of this work plan.   </v>
          </cell>
          <cell r="J53" t="str">
            <v>1) The Sheffield place as part of HCP Governance has a dedicated working group overseeing this area of work with all key partners involved in oversight and delivery. 
2) We are also in the process of initiating a city wide Health Inequalities delivery group</v>
          </cell>
          <cell r="K53" t="str">
            <v>Sheffield Health and Wellbeing Board</v>
          </cell>
          <cell r="L53" t="str">
            <v>4 x 3 = 12</v>
          </cell>
          <cell r="M53" t="str">
            <v>Increase virtual ward capacity, EOLC - this reads more as an aim / action</v>
          </cell>
          <cell r="N53" t="str">
            <v xml:space="preserve">No gaps in assurance </v>
          </cell>
          <cell r="O53" t="str">
            <v>1)Integrated neighbourhood team development
2)Community services transformation
3)Urgent community response
4)Palliative and end of life care</v>
          </cell>
          <cell r="P53" t="str">
            <v>3 x 3 = 9</v>
          </cell>
          <cell r="Q53" t="str">
            <v>Medium</v>
          </cell>
          <cell r="R53" t="str">
            <v xml:space="preserve">workforce and appropriate training are key to ability to integrate services, there are risk in the system due to gaps in our collective workforce. work is underway to support roles that can span both H&amp;SC
</v>
          </cell>
          <cell r="S53" t="str">
            <v xml:space="preserve">1) Deliver the Sheffield Health and care place plan
2) Continue to integrate primary, Acute and community services to ensure full integration </v>
          </cell>
          <cell r="T53" t="str">
            <v>None at this time.</v>
          </cell>
          <cell r="U53" t="str">
            <v>No</v>
          </cell>
          <cell r="V53" t="str">
            <v>25/09/2024
02/12/2024
06/01/2025
24/03/2025
12/05/2025
19/08/2025
24/11/2025
23/02/2026</v>
          </cell>
          <cell r="W53">
            <v>46165</v>
          </cell>
          <cell r="X53" t="str">
            <v>Quarterly</v>
          </cell>
          <cell r="Y53" t="str">
            <v>Not overdue</v>
          </cell>
        </row>
        <row r="54">
          <cell r="A54">
            <v>2.13</v>
          </cell>
          <cell r="B54" t="str">
            <v>There is compliance with Urgent and Emergency Care national standards*. Should the ICB be non-compliant, it will result in significant risks to patients if unresolved
(* 1) Improving A&amp;E waiting times so that no less than 80% of patients are seen within 4 hours by March 27. 2) Improving Category 2 ambulance response times to an average of 30 minutes across 26/27.  3) Reduce adult general and acute bed occupancy to 92% or below by March 27.  4) Consistently meet or exceed the 70% 2-hour urgent community response (UCR) standard)</v>
          </cell>
          <cell r="C54" t="str">
            <v>Dr David Crichton 
Chief Medical Officer</v>
          </cell>
          <cell r="D54" t="str">
            <v>Lesley Carver</v>
          </cell>
          <cell r="E54" t="str">
            <v xml:space="preserve">
System Leadership Executive Group</v>
          </cell>
          <cell r="F54" t="str">
            <v>Accountable</v>
          </cell>
          <cell r="G54" t="str">
            <v>South Yorkshire Joint Forward Plan</v>
          </cell>
          <cell r="H54" t="str">
            <v>SY063, IL07</v>
          </cell>
          <cell r="I54" t="str">
            <v xml:space="preserve">Place Urgent and Emergency Care Delivery Boards
SY UEC Alliance Board . 
System Control Centre (SCC). 
SY UEC Performance Reports (including YAS). 
Joint Forward Plan. 
SY Performance &amp; Delivery Group. 
SY Discharge Group.    
</v>
          </cell>
          <cell r="J54" t="str">
            <v xml:space="preserve">QPPIE Committee
BI Reporting
Place Quality Oversight Group. 
Audit and Risk Committee. 
Senior leaders executive. 
Yorkshire and Humber Executive Leadership Board. 
</v>
          </cell>
          <cell r="K54" t="str">
            <v>Integrated Care Partnership. Regional NHSE/ICB Reviews. NEY UEC Delivery Group. System Wide Access to SDEC Subgroup. Director Oversight Meetings. NHSE Winter assurance processes stepped up and additional reporting.</v>
          </cell>
          <cell r="L54" t="str">
            <v xml:space="preserve">4x4 = 16 </v>
          </cell>
          <cell r="M54" t="str">
            <v xml:space="preserve">Robust &amp; responsive discharge systems &amp; processes at Trust, Place and ICB level  - remains but actively being managed
Variance in SDEC provision across SY – remains with clear mitigation plan in place 
</v>
          </cell>
          <cell r="N54" t="str">
            <v xml:space="preserve">Integrated front door options to ED to stream patients away appropriately, is not fully embedded
</v>
          </cell>
          <cell r="O54" t="str">
            <v xml:space="preserve">Improve patient access to A&amp;E alternatives
Improve operational processes at the front door of hospitals
Improve flow of hospitals (hospital discharge)
</v>
          </cell>
          <cell r="P54" t="str">
            <v>3 x 3 = 9</v>
          </cell>
          <cell r="Q54" t="str">
            <v>High</v>
          </cell>
          <cell r="R54" t="str">
            <v>Performance assurance:
•	4 hour performance exceeds both plan and national target.
•	Category 2 ambulance response times consistently outperform the national standard.
•	Ambulance handover delays have been materially resolved through W45 implementation.
Control effectiveness:
•	Previously identified control gaps (e.g. handover delays) are now demonstrably closed.
•	Remaining issues (e.g. NCTR, SDEC variation) are well understood, actively managed, and supported by funded capital solutions.
Governance and learning:
•	Winter debriefs and audits are in place with clear reporting routes.
•	System learning mechanisms are active and progressing through Place and Alliance governance.
Forward assurance:
•	Ambitious but credible 2026/27 trajectories are set.
•	All UEC capital bids have support in principle, providing confidence that structural constraints are being addressed.</v>
          </cell>
          <cell r="S54" t="str">
            <v xml:space="preserve">1) Sustain and further improve patient flow and discharge effectiveness by embedding seven day discharge models and maximising utilisation of community services, supported by discharge lounges, community ready units and Home First pathways, with continued system oversight through 2026/27.
2) Reduce No Criteria to Reside (NCTR) occupancy towards the national 10% threshold through targeted Place level improvement plans, long length of stay reviews, and delivery of approved capital schemes that increase discharge capacity and system flow by Q2 26/27
3) Maintain and strengthen alternatives to ED, building on improved ambulance and ED performance by continuing to work with Yorkshire Ambulance Service and system partners to optimise alternative pathways, direct conveyance and streaming, with a focus on sustained delivery through 2026/27.
4) Reduce unwarranted variation in SDEC provision across South Yorkshire by progressing delivery of approved SDEC capital developments, agreeing a consistent system wide operating model, and improving referral access for non hospital clinicians to ensure patients reach SDEC first time without barriers by Q2 26/27
5) Deliver ambitious 2026/27 performance trajectories, sustaining improvements against constitutional standards, with a continued focus on conveyancing, integrated front door models, and avoidance of unnecessary ED attendance.
6) Progress delivery of UEC capital programme following support in principle for all bids, ensuring schemes are mobilised, monitored through UEC governance, and translated into measurable improvements in flow, capacity and patient experience throughout 2026/7
</v>
          </cell>
          <cell r="T54" t="str">
            <v>March 2026 -  South Yorkshire ICB ended the 2025/26 financial year with a strong Urgent &amp; Emergency Care performance, achieving 79.7% (All types) against the 4‑hour standard in March—exceeding both plan and the national 78% target for 2026. Looking ahead to 2026/27, SY ICB has set an ambitious but achievable trajectory, aiming to reach 82% by March 2027. Implementation of the W45 ambulance handover policy across South Yorkshire has had a significant positive impact, dramatically reducing handover breaches. The average handover time now stands at 17.39 minutes, the best performance in the region.
Category 2 ambulance response times continue to perform well, consistently meeting plan at 24 minutes, which is notably better than the national 30‑minute standard.
For 2026/27, Place-level planning assumptions have been set as follows: Barnsley: 18.01 minutes / Doncaster: 20.19 minutes / Sheffield Children’s: 9.18 minutes / Sheffield Teaching Hospitals: 17.06 minutes / Rotherham: 20.17 minutes
Within acute services, NCTR occupancy remains above the national 10% target; however, targeted improvement work and the introduction of new pathways are underway to address this.
Winter debriefs are currently in progress and will be formally presented to the South Yorkshire UEC Alliance Board.
The Missed Opportunity Audit has been completed, with Places now reviewing and sharing learning. Further audit cycles are being considered to strengthen system-wide understanding and improvement.
Finally, regarding UEC capital bids, all programme submissions have received support in principle , totalling  Urgent &amp; Emergency Care (UEC) Bids – £78.046m: 
Sheffield Teaching Hospitals NHS FT - Minor Injuries Reconfiguration (co‑located UTC) – £4m / Full ED Refurbishment – £20m / Multi-specialty SDEC Units – £2m
Barnsley Hospital NHS FT - New Urgent Treatment Centre (UTC) – £8m / Discharge Lounge Expansion – £0.4m
The Rotherham NHS FT - Discharge Lounge (Community Ready Unit) Extension – £0.3m / Initial Triage Hub – £3.673m / Surgical SDEC – £3.5m / Co-located Children’s Assessment Unit (CAU) in ED – £2.673m / Teletracking System – £1.5m
Doncaster &amp; Bassetlaw Teaching Hospitals NHS FT - Phase 1: UEC/UTC/SDEC/Resus Enabling Works – £7m / Phase 2: New UEC/UTC/SDEC &amp; ED Reconfiguration (Model ED) – £25m</v>
          </cell>
          <cell r="U54" t="str">
            <v>Missed opportunity Audit  - now complete. Reports have been sent to Place for approval and actionning</v>
          </cell>
          <cell r="V54" t="str">
            <v>30/11/2024
12/12/2024
03/03/2025
17/03/2025
01/04/2025
30/06/2025
30/09/2025
29/12/2025
31/03/2026</v>
          </cell>
          <cell r="W54">
            <v>46203</v>
          </cell>
          <cell r="X54" t="str">
            <v>Quarterly</v>
          </cell>
          <cell r="Y54" t="str">
            <v>Not overdue</v>
          </cell>
        </row>
        <row r="55">
          <cell r="A55">
            <v>2.14</v>
          </cell>
          <cell r="B55" t="str">
            <v xml:space="preserve">Planned care (acute) hospital services (elective and diagnostic) are working well
65/78/104 Week Waits  - The system has not eliminated patient waits 65 and 78 weeks.  Risk to patients and risk to ICB reputational damage not meeting national targets.   
</v>
          </cell>
          <cell r="C55" t="str">
            <v>Sarah Perkins
Director of Transformation and Delivery</v>
          </cell>
          <cell r="E55" t="str">
            <v xml:space="preserve">System Leadership Executive Group
</v>
          </cell>
          <cell r="F55" t="str">
            <v>Accountable</v>
          </cell>
          <cell r="G55" t="str">
            <v>South Yorkshire Joint Forward Plan</v>
          </cell>
          <cell r="H55" t="str">
            <v>SY113, IL13</v>
          </cell>
          <cell r="I55" t="str">
            <v>1) Acute Provider Collaborative with ICB executive membershio
2) System Leadership Executive</v>
          </cell>
          <cell r="J55" t="str">
            <v xml:space="preserve">1) SLE
2) ICB lead executive </v>
          </cell>
          <cell r="K55" t="str">
            <v>NHS England assurance</v>
          </cell>
          <cell r="L55" t="str">
            <v>4 x 4 = 16</v>
          </cell>
          <cell r="M55" t="str">
            <v xml:space="preserve">The ICB does not commission enough capacity to deliver waiting times for patients.
</v>
          </cell>
          <cell r="N55" t="str">
            <v>Acute providers do not provide sufficient detail at Place Boards.
Acute provider federation does not provide sufficient detail to ICB.</v>
          </cell>
          <cell r="O55" t="str">
            <v>1)Continued elective recovery
2)Continued diagnostic recovery
3)Pathway improvement &amp; utilisation – link to Clinical Strategy delivery</v>
          </cell>
          <cell r="P55" t="str">
            <v>3 x 3 = 9</v>
          </cell>
          <cell r="Q55" t="str">
            <v>Medium</v>
          </cell>
          <cell r="R55" t="str">
            <v>DBTH have the highest number of 65 week waits across the SY,  work is underway on a trajectory but the ICB has not received a plan to eliminate the long waiters</v>
          </cell>
          <cell r="S55" t="str">
            <v>1) ICB Activity planning and contract award for 25/26 includes sufficient activity to deliver waiting time standards. 
2) ICB commissioning intentions includes actions for acute providers to ensure delivery of standards and maximum value.
3) Place partnership meetings include agenda item - overview of current waiting times.
4) NHSE and ICB have quarterly review meetings to review provider performance (including waiting times).</v>
          </cell>
          <cell r="U55" t="str">
            <v>Audit how we measure/perform experience and access</v>
          </cell>
          <cell r="V55" t="str">
            <v>07/10/2024
11/11/2024
16/12/2024
06/01/2025
27/03/2025
30/06/2025
20/10/2025
19/01/2026</v>
          </cell>
          <cell r="W55">
            <v>46131</v>
          </cell>
          <cell r="X55" t="str">
            <v>Quarterly</v>
          </cell>
          <cell r="Y55" t="str">
            <v>Not overdue</v>
          </cell>
        </row>
        <row r="56">
          <cell r="A56">
            <v>2.15</v>
          </cell>
          <cell r="B56" t="str">
            <v xml:space="preserve">Cancer services are working well. 
Due to a shortfall in the  consultant oncology workforce, there is an extension to the wait time for patients requiring non-surgical oncology resulting in possible harm to patients
</v>
          </cell>
          <cell r="C56" t="str">
            <v>Emma Latimer  
Sheffield Place Director</v>
          </cell>
          <cell r="D56" t="str">
            <v>Julia Jessop</v>
          </cell>
          <cell r="E56" t="str">
            <v xml:space="preserve">System Leadership Executive Group
</v>
          </cell>
          <cell r="F56" t="str">
            <v>Accountable</v>
          </cell>
          <cell r="G56" t="str">
            <v>South Yorkshire Joint Forward Plan</v>
          </cell>
          <cell r="H56" t="str">
            <v>SY116, SY117, SY028, SY115,  IL12</v>
          </cell>
          <cell r="I56" t="str">
            <v xml:space="preserve">1) Cancer Alliance Board oversight of stabilisation phase and transformation programme to support resilience in NSO pathways </v>
          </cell>
          <cell r="J56" t="str">
            <v xml:space="preserve">1) Operational Executive 
2) QPIE
3) SLE performance reporting </v>
          </cell>
          <cell r="K56" t="str">
            <v>1) Tier 1 NHS England process 
2) JHOSC  in full please</v>
          </cell>
          <cell r="L56" t="str">
            <v>4 x 4 = 16</v>
          </cell>
          <cell r="M56" t="str">
            <v>Vacancies remain in cosultant establishment.</v>
          </cell>
          <cell r="N56" t="str">
            <v>Waiting times to see an oncologist from MDT Decision</v>
          </cell>
          <cell r="O56" t="str">
            <v xml:space="preserve">1)Completion of oncologist recruitment. 
2)Securing nursing and pharmacy support for team delivered approach
3)Shared records to support stabilisation model and transformation programme
4)Great standardisation across the system supported through revised SLAs  
</v>
          </cell>
          <cell r="P56" t="str">
            <v>3 x 3 = 9</v>
          </cell>
          <cell r="Q56" t="str">
            <v>Medium</v>
          </cell>
          <cell r="R56" t="str">
            <v xml:space="preserve">Stabilisation phase almost complete with confirmation of the fourth lung cancer clinic supportted through JHOSC. 
Recent recruitment process has led to additional oncology appointments 
Transformation programme supporting new models of working based on a consultant led team delivered approach. 
NSO waiting times showing signs of recovery in some pathways but remain fragile. </v>
          </cell>
          <cell r="S56" t="str">
            <v>1)Await to confirmation that the 6 consultants in are their substantive posts, which is expected to be in Q4 2025/6
2)Weston Park have established a report detailing the length of wait to see an oncologist after MDT in addition to the 31 day waiting times, reporting to STH internal governance processes, monthly throughout 25/26. This is also being monitored through the Tier 1 process involving regional and national colleagues.</v>
          </cell>
          <cell r="T56" t="str">
            <v>October 2025 - recruitment is complete, but the CAB agreed to keep the risk open until the consultants are in their substantive post</v>
          </cell>
          <cell r="U56" t="str">
            <v>No</v>
          </cell>
          <cell r="V56" t="str">
            <v>20/08/2024
25/10/2024
03/02/2025
27/03/2025
19/08/2025
28/01/2026</v>
          </cell>
          <cell r="W56">
            <v>46141</v>
          </cell>
          <cell r="X56" t="str">
            <v>Quarterly</v>
          </cell>
          <cell r="Y56" t="str">
            <v>Not overdue</v>
          </cell>
        </row>
        <row r="57">
          <cell r="A57" t="str">
            <v xml:space="preserve">2.16
</v>
          </cell>
          <cell r="B57" t="str">
            <v>The ICB has now received the Specialised services commissioning for delegated services from NHSE.  Failure to discharge the oversight and commissioning on these services well may result in a lack of satisfactory oversight, a loss of financial control and an inability to secure the benefits of delegation.</v>
          </cell>
          <cell r="C57" t="str">
            <v>Lee Outhwaite   
Chief Finance Officer</v>
          </cell>
          <cell r="D57" t="str">
            <v>No delegate</v>
          </cell>
          <cell r="E57" t="str">
            <v xml:space="preserve">Formal Executive Group
</v>
          </cell>
          <cell r="F57" t="str">
            <v>Accountable</v>
          </cell>
          <cell r="G57" t="str">
            <v>South Yorkshire Joint Forward Plan</v>
          </cell>
          <cell r="H57" t="str">
            <v>SY116, SY117, SY115, SY127, IL08, IL12, IL13</v>
          </cell>
          <cell r="I57" t="str">
            <v>1) YH Specialised Leads
2) LMNS
3) Stroke Network
4) Cancer Alliance</v>
          </cell>
          <cell r="J57" t="str">
            <v>1) Lee Outhwaite, Jackie Mills, Lisa Devanney, Alun Windle and Mark Janvier were the core team managing the delegation and are engaging with the other three NEY ICBs and the NHSE regional team
2) Also Kevin Turner provided some oversight of the delegation process via his attendance at the monthly delegation programme board
3)The reporting from the Y&amp;H Joint Committee on delegation has now been formalised through a Triple A report like those used in WY ICB. 
4) A piece of work has now been commissioned by the Joint Committee, which will be discussed at Formal Exec Group which seeks to improve the reporting to both the Executive and assurance functions.</v>
          </cell>
          <cell r="K57" t="str">
            <v>We are now improving the report out of the Joint Committee which will come into Formal Executive.  We have also proposed a further update to the Board, following the Internal Audit review which looked at Delegated Commissioning.</v>
          </cell>
          <cell r="L57" t="str">
            <v>3 x 3 = 9</v>
          </cell>
          <cell r="M57" t="str">
            <v>No gaps in control</v>
          </cell>
          <cell r="N57" t="str">
            <v>Effectively describing i), ii) and iii) in advance of the next Board update via the use of the internal audit report and the joint review of the Y&amp;H joint committee effectiveness which has been completed.</v>
          </cell>
          <cell r="O57" t="str">
            <v xml:space="preserve">There is still further work to complete on the three main strands of the work required, namely 
i) a further understanding of how the model will operate with the team that will help to manage  both the retained and delegated services, 
ii) the approach to the Joint Committee structure that will be responsible for discharging this work and 
iii) the organisation development work and workplan that will enable the benefits of delegation to be secured, such as the approach to provider side engagement and the benefits from being together the extant ICB commissioned service portfolio and the delegated services. </v>
          </cell>
          <cell r="P57" t="str">
            <v>3 x 3 = 9</v>
          </cell>
          <cell r="Q57" t="str">
            <v>Medium</v>
          </cell>
          <cell r="R57" t="str">
            <v>We continue to working through how we develop a better line of sight from the Y&amp;H Specialist Services Oversight Board and the SY Exec and Non Executive functions.  The staffing transfer will no longer happen to SY as we review the new model proposed model for the "Office of Pan ICB Commissioning" (OPIC) which is proposed to come into service at April 2027, with a revised scope for the delegated services.</v>
          </cell>
          <cell r="S57" t="str">
            <v>Efffectively  manage the risks 
i) current service oversight (but now need to get the information flow from the Joint Committee into the SY ICB  right), 
ii) delegation process is addressed 
iii) delivering the benefits of delegation.  We are now working alongside NHSE and the other three NEY ICBs in delivering the best approach to this third risk, particularly in the context of how the cost reduction targets for both NHSE and the ICBs may impact.</v>
          </cell>
          <cell r="T57" t="str">
            <v>April 2025 - A model for retained and delegated services staffing has been proposed and is about to be consulted on, work is underway on the ToR and appproach to the joint committee.  This will be reviewed and then the third area of work will be progressed which will start to describe the teams 25/26 workplan and the OD which is required to be progress this.
September 2025 - Board received a further update on specialist commissioning delegation at it's September meeting  and further work will be required beyond the September Board to ensure the post delegation management of services is handled as effectively as it can be.
March 2026 - We will review our approach following the internal audit report and the joint review of the Y&amp;H joint committee effectiveness which has been completed.</v>
          </cell>
          <cell r="U57" t="str">
            <v>Completed by Internal Audit in 2025/26 Q4.</v>
          </cell>
          <cell r="V57" t="str">
            <v>20/08/2024
28/10/2024
30/01/2025
02/05/2025
30/07/2025
23/09/2025
31/03/2026</v>
          </cell>
          <cell r="W57">
            <v>46203</v>
          </cell>
          <cell r="X57" t="str">
            <v>Quarterly</v>
          </cell>
          <cell r="Y57" t="str">
            <v>Not overdue</v>
          </cell>
        </row>
        <row r="58">
          <cell r="A58" t="str">
            <v>Objective 3:  Enhance Productivity and Value for Money  -
Executive Lead - Chief Finance Officer</v>
          </cell>
          <cell r="L58" t="str">
            <v xml:space="preserve">Risk Appetite
9 </v>
          </cell>
          <cell r="P58" t="str">
            <v xml:space="preserve">Risk Appetite
9 </v>
          </cell>
        </row>
        <row r="59">
          <cell r="A59">
            <v>3.1</v>
          </cell>
          <cell r="B59" t="str">
            <v xml:space="preserve">The ICB is working in the best way to make sure the best use of resources to ensure there is an effective operating model to fulfil the organisations objectives
</v>
          </cell>
          <cell r="C59" t="str">
            <v>Lee Outhwaite   
Chief Finance Officer</v>
          </cell>
          <cell r="D59" t="str">
            <v>No delegate</v>
          </cell>
          <cell r="E59" t="str">
            <v>System Leadership Executive Group - supported by Finance and Investment and now the Turnaround Subcommittee of the Board</v>
          </cell>
          <cell r="F59" t="str">
            <v>Accountable</v>
          </cell>
          <cell r="G59" t="str">
            <v>South Yorkshire Joint Forward Plan / BAF 2023</v>
          </cell>
          <cell r="H59" t="str">
            <v>SY091, IL20</v>
          </cell>
          <cell r="I59" t="str">
            <v>Target Operating Model (TOM) implemented following resource review. 
 - Board fully signed on TOM, Audit &amp; Risk Committee, Finance and Investment Committee, People and Culture committee also receiving reports
- Now need to review via the change in ICB role and functions following the completion of the new organisational model by the end of Q1 26/27.
- Continue to deliver the new governance which was developed in 25/26 including the  Turnaround PMO with weekly executive meetings and a monthly assurance subcommittee of the Board</v>
          </cell>
          <cell r="J59" t="str">
            <v>1)There is a Financial plan in place supporting the previous TOM reporting to Operational Executive 
2) There is now a new full Organisational Redesign Programme stood up to review and implement the requirements of the National ICB Running and Pay Programme Cost Reduction requirement in 25/26, which we will need to respond due during q1 transition in 26/27 Q1.</v>
          </cell>
          <cell r="K59" t="str">
            <v xml:space="preserve">We understand the reasons for our off plan performance in 2025/26.  We have now developed a plan for 26/27 which further emphasises the approach to ensuring financial delivery with some specific objectives around financial performance.  We continue to report to NHSE on in year performance through our Segment 3 oversight meetings and continuing to monitor the  25/26 operational and financial plan, and the development of the 26/27 plan through that approach.
</v>
          </cell>
          <cell r="L59" t="str">
            <v>3 x 3 = 9</v>
          </cell>
          <cell r="M59" t="str">
            <v>Need to align financial delivery objectives to the new Targeted Operation Model (TOM) and review the approach to our improved and develop further our Turnaround Structures, developed in 2025/26.</v>
          </cell>
          <cell r="N59" t="str">
            <v xml:space="preserve">Operating Model may not align to recent mandated pay and programme reductions in 2025/6
</v>
          </cell>
          <cell r="O59" t="str">
            <v xml:space="preserve">1)Review TOM and continually make changes when needed
2)Effective and successful Organisational Redesigned required by the National ICB Running Cost Reduction Programme.
3)We are now reviewing overall delivery of the plan as part of the 26/27 planning process.
</v>
          </cell>
          <cell r="P59" t="str">
            <v>4 x 4 = 16</v>
          </cell>
          <cell r="Q59" t="str">
            <v>Medium</v>
          </cell>
          <cell r="R59" t="str">
            <v>Despite the broader challenges in the system the primary accountability through place was well described and now enhanced through the newly implemented Turnaround structures.  We now need to review this in the context of organisational change.</v>
          </cell>
          <cell r="S59" t="str">
            <v>1)Fully develop and embed the ICB BAF by when we better understand the roles and responsibilities associated with the model ICB and model regional team.
Embed and refine Corporate Risk Management processes throughout 2026/7
2)Continue to work through approach to objective setting in order to deliver the new TOM and improved and develop further our Turnaround Structures and improved and develop further our Turnaround Structures throughout 2026/7</v>
          </cell>
          <cell r="T59" t="str">
            <v>September 2025 - We continue to be in receipt of third party oversight from NHSE as part of the NOF3 process.  - The NHSE oversight is ongoing and Deloittes have now concluded their I&amp;I work, including re-reviewing our financial control environment.  We are now embedding our new and improved Turnaround structures to ensure that there is the appropriate focus and managerial capacity applied to delivering the required financial performance.
March 2026 - we will need to review our overall approach to financial delivering during and through the delivery of our new TOM In Q1 2026/27.</v>
          </cell>
          <cell r="U59" t="str">
            <v>Further CIP Oversight review planned for IA planned for Q3 26/27.</v>
          </cell>
          <cell r="V59" t="str">
            <v>08/10/2024
28/10/2024
30/01/2025
02/05/2025
23/06/2025
30/07/2025
23/09/2025
01/10/2025
31/03/2026</v>
          </cell>
          <cell r="W59">
            <v>46142</v>
          </cell>
          <cell r="X59" t="str">
            <v>Monthly</v>
          </cell>
          <cell r="Y59" t="str">
            <v>Not overdue</v>
          </cell>
        </row>
        <row r="60">
          <cell r="A60" t="str">
            <v>3.3.1 - B</v>
          </cell>
          <cell r="B60" t="str">
            <v xml:space="preserve">Partnership arrangements are fully exploited to secure effective arrangements in Place
</v>
          </cell>
          <cell r="C60" t="str">
            <v>Katie Calvin-Thomas
Barnsley Place Director</v>
          </cell>
          <cell r="D60" t="str">
            <v>Jamie Wike</v>
          </cell>
          <cell r="E60" t="str">
            <v>System Leadership Executive Group</v>
          </cell>
          <cell r="F60" t="str">
            <v>Accountable</v>
          </cell>
          <cell r="G60" t="str">
            <v>South Yorkshire Joint Forward Plan</v>
          </cell>
          <cell r="H60" t="str">
            <v>SY042; IL17</v>
          </cell>
          <cell r="I60" t="str">
            <v>1) Barnsley Place Partnership Delivery Group and sub groups overseeing delivery of the Barnsley Place Plan.</v>
          </cell>
          <cell r="J60" t="str">
            <v>Barnsley Place Partnership and ICB Place Committee.</v>
          </cell>
          <cell r="K60" t="str">
            <v>Health and Wellbeing Board.</v>
          </cell>
          <cell r="L60" t="str">
            <v>3 x 4 = 12</v>
          </cell>
          <cell r="M60" t="str">
            <v>No gaps in control</v>
          </cell>
          <cell r="N60" t="str">
            <v>No gaps identified.</v>
          </cell>
          <cell r="O60" t="str">
            <v>1) Increased focus across the partnership around financial planning and delivery of efficiency 
2) Strengthened reporting of impact of transformation at place, partner and provider level.</v>
          </cell>
          <cell r="P60" t="str">
            <v>2 x 3 = 6</v>
          </cell>
          <cell r="Q60" t="str">
            <v>Medium</v>
          </cell>
          <cell r="R60" t="str">
            <v>Capacity and system financial position creates a challenge to well established collaborative working arrangements and delivery of place priorities.</v>
          </cell>
          <cell r="S60" t="str">
            <v>No gaps identified, no action required</v>
          </cell>
          <cell r="T60" t="str">
            <v>July 2025 - In light of the planned changes to the role of ICB's and the publication of the 10 year health plan - Place Partnership members have formed a task and finish group to consider how the partnership will work in future and ensure Barnsley is in a strong position to move ahead on Neighbourhood Health</v>
          </cell>
          <cell r="U60" t="str">
            <v xml:space="preserve">
No</v>
          </cell>
          <cell r="V60" t="str">
            <v>25/09/2024
11/11/2024
09/12/2024
30/01/2025
17/03/2025
07/04/2025
30/05/2025
04/07/2025
14/08/2025
18/09/2025
24/10/2025
12/12/2025
12/01/2026  
16/02/2026  
27/03/2026</v>
          </cell>
          <cell r="W60">
            <v>46292</v>
          </cell>
          <cell r="X60" t="str">
            <v>Six-monthly</v>
          </cell>
          <cell r="Y60" t="str">
            <v>Not overdue</v>
          </cell>
        </row>
        <row r="61">
          <cell r="A61" t="str">
            <v>3.3.1 - D</v>
          </cell>
          <cell r="B61" t="str">
            <v xml:space="preserve">Partnership arrangements are fully exploited to secure effective arrangements in Place
</v>
          </cell>
          <cell r="C61" t="str">
            <v xml:space="preserve">Anthony Fitzgerald
Doncaster / Rotherham Place Director
</v>
          </cell>
          <cell r="D61" t="str">
            <v>Ailsa Leighton</v>
          </cell>
          <cell r="E61" t="str">
            <v>System Leadership Executive Group</v>
          </cell>
          <cell r="F61" t="str">
            <v>Accountable</v>
          </cell>
          <cell r="G61" t="str">
            <v>South Yorkshire Joint Forward Plan</v>
          </cell>
          <cell r="H61" t="str">
            <v>SY042; IL17</v>
          </cell>
          <cell r="I61" t="str">
            <v xml:space="preserve">Place Committee </v>
          </cell>
          <cell r="J61" t="str">
            <v>1) Local Contract arrangements
2) Doncaster place ICB QIPP Board
3) Individual provider CIP plans - in full please
4) Team Doncaster Executive</v>
          </cell>
          <cell r="K61" t="str">
            <v>1) Audits from external agencies, such as Deloitte
2) NHSE oversight
3) CQC</v>
          </cell>
          <cell r="L61" t="str">
            <v>4 x 3  = 12</v>
          </cell>
          <cell r="M61" t="str">
            <v xml:space="preserve">Gaps in control will be confirmed following partnership forum review.
</v>
          </cell>
          <cell r="N61" t="str">
            <v>Gaps in assurance will be confirmed following partnership forum review.</v>
          </cell>
          <cell r="O61" t="str">
            <v>Formal establishment of a Place Committee sub committee, focussed on place based finance and efficiency and performance.  This has been in place via the Place Delivery Group but is now under review as part of the partnership work underway, in light of the 10 year plan and the changing role of ICBs.</v>
          </cell>
          <cell r="P61" t="str">
            <v>2 x 4 = 8</v>
          </cell>
          <cell r="Q61" t="str">
            <v>Medium</v>
          </cell>
          <cell r="R61" t="str">
            <v>The Doncaster Place Committee and Team Doncaster Executive both meet on a regular basis with a focus on place based working.</v>
          </cell>
          <cell r="S61" t="str">
            <v>1)Review of the role of the partnership forum in Doncaster (formerly Place Committee), this is an evolving picture and will continue throughout 2025/6.
2)A review of the Partnership Forum is to be undertaken once we’ve confirmed the its role, expected by Q4 25/26</v>
          </cell>
          <cell r="T61" t="str">
            <v xml:space="preserve">January 2026 - the Doncaster Place partnership continue to work through a series of discussions regarding ways of working going forwards, taking a 3 horizons approach.  Recent conversations have focussed on developing our neighbourhood approach and ways in which to test new ideas and concepts.  The next meeting is at the end of January where the focus will include future place governance </v>
          </cell>
          <cell r="U61" t="str">
            <v xml:space="preserve">
No</v>
          </cell>
          <cell r="V61" t="str">
            <v>14/10/2024
24/11/2024
17/03/2025
28/03/2025
16/07/2025
25/09/2025
05/01/2026</v>
          </cell>
          <cell r="W61">
            <v>46117</v>
          </cell>
          <cell r="X61" t="str">
            <v>Quarterly</v>
          </cell>
          <cell r="Y61" t="str">
            <v>Not overdue</v>
          </cell>
        </row>
        <row r="62">
          <cell r="A62" t="str">
            <v>3.3.1 - R</v>
          </cell>
          <cell r="B62" t="str">
            <v xml:space="preserve">Partnership arrangements are fully exploited to secure effective arrangements in Place
</v>
          </cell>
          <cell r="C62" t="str">
            <v xml:space="preserve">Anthony Fitzgerald
Doncaster / Rotherham Place Director
</v>
          </cell>
          <cell r="D62" t="str">
            <v xml:space="preserve">Claire Smith
</v>
          </cell>
          <cell r="E62" t="str">
            <v>System Leadership Executive Group</v>
          </cell>
          <cell r="F62" t="str">
            <v>Accountable</v>
          </cell>
          <cell r="G62" t="str">
            <v>South Yorkshire Joint Forward Plan</v>
          </cell>
          <cell r="H62" t="str">
            <v>SY042; IL17</v>
          </cell>
          <cell r="I62" t="str">
            <v>1) Well established partnership governance to ensure joint planning and oversight in place since 2016. 
2) Rotherham Health and Care Place Plan details plans and is overseen by the Rotherham place board and the Health and Wellbeing board. 
3) Plan is also signed off by all statutory partners, VAR and Connect Healthcare</v>
          </cell>
          <cell r="J62" t="str">
            <v>Rotherham Place ICB board sub committee</v>
          </cell>
          <cell r="K62" t="str">
            <v>Health and Wellbeing Board.</v>
          </cell>
          <cell r="L62" t="str">
            <v>3 x 4 = 12</v>
          </cell>
          <cell r="M62" t="str">
            <v>None identified</v>
          </cell>
          <cell r="N62" t="str">
            <v>None identified</v>
          </cell>
          <cell r="O62" t="str">
            <v xml:space="preserve">Continue to work on integration and efficiency at place. Agree arrangements for Place board moving forwards when the ICB implements the new model by January 26. Jan = agreed model for new Place Board including membership. To complete - TORS, MOU, agreement on Place priorities moving forward. </v>
          </cell>
          <cell r="P62" t="str">
            <v>2 x 3 = 6</v>
          </cell>
          <cell r="Q62" t="str">
            <v>Medium</v>
          </cell>
          <cell r="R62" t="str">
            <v xml:space="preserve">Financial position of partners poses a risk to our well established collaborative working arrangements </v>
          </cell>
          <cell r="S62" t="str">
            <v>No gaps identified, no action required</v>
          </cell>
          <cell r="T62" t="str">
            <v xml:space="preserve">January 2025 - Gaps now managed there is a regular joint meeting between the Council and ICB commissioning teams to ensure we are sighted on and work collaboratively across Place 
</v>
          </cell>
          <cell r="U62" t="str">
            <v xml:space="preserve">Audit performance against place plans - completed every 3 months when reports come to Board </v>
          </cell>
          <cell r="V62" t="str">
            <v>07/10/2024
11/11/2024
16/12/2024
06/01/2025
30/01/2025
03/03/2025
04/04/2025
06/05/2025
10/06/2025
14/07/2025
21/08/2025
22/09/2025
01/10/2025
03/11/2025
04/11/2025
08/12/2025
12/01/2026
16/02/2026</v>
          </cell>
          <cell r="W62">
            <v>46250</v>
          </cell>
          <cell r="X62" t="str">
            <v>Six-monthly</v>
          </cell>
          <cell r="Y62" t="str">
            <v>Not overdue</v>
          </cell>
        </row>
        <row r="63">
          <cell r="A63" t="str">
            <v>3.3.1 - S</v>
          </cell>
          <cell r="B63" t="str">
            <v xml:space="preserve">Partnership arrangements are fully exploited to secure effective arrangements in Place
</v>
          </cell>
          <cell r="C63" t="str">
            <v>Emma Latimer  
Sheffield Place Director</v>
          </cell>
          <cell r="D63" t="str">
            <v>Ian Atkinson</v>
          </cell>
          <cell r="E63" t="str">
            <v>System Leadership Executive Group</v>
          </cell>
          <cell r="F63" t="str">
            <v>Accountable</v>
          </cell>
          <cell r="G63" t="str">
            <v>South Yorkshire Joint Forward Plan</v>
          </cell>
          <cell r="H63" t="str">
            <v>SY042; IL17</v>
          </cell>
          <cell r="I63" t="str">
            <v>1) Well established partnership governance to ensure joint planning and oversight in place. 
2) Sheffield Health and Care Place Plan details plans and is overseen by the Sheffield place board and the Health and Wellbeing board. 
3) Plan is also signed off by all statutory partners, VAR and Connect Healthcare</v>
          </cell>
          <cell r="J63" t="str">
            <v>Sheffield Healthcare Partnership Board</v>
          </cell>
          <cell r="K63" t="str">
            <v>1) Well established partnership governance. 
2) Sheffield Health priorities overseen by Sheffield Place Board, plan signed off by partners</v>
          </cell>
          <cell r="L63" t="str">
            <v>3 x 4 = 12</v>
          </cell>
          <cell r="M63" t="str">
            <v>Financial plan across Place -</v>
          </cell>
          <cell r="N63" t="str">
            <v xml:space="preserve"> transparency through regular review of financial plans at Place Board</v>
          </cell>
          <cell r="O63" t="str">
            <v>Continue to work on integration and efficiency at place</v>
          </cell>
          <cell r="P63" t="str">
            <v>2 x 3 = 6</v>
          </cell>
          <cell r="Q63" t="str">
            <v>Medium</v>
          </cell>
          <cell r="R63" t="str">
            <v xml:space="preserve">Financial position of partners poses a risk to our well established collaborative working arrangements </v>
          </cell>
          <cell r="S63" t="str">
            <v>Continue to implement place plan, winter plan and efficiency plans. Further work is now taking place in Sheffield to look at additional financial savings in year to support the deficit position of the ICS (ICB)</v>
          </cell>
          <cell r="T63" t="str">
            <v>None at this time</v>
          </cell>
          <cell r="U63" t="str">
            <v>No</v>
          </cell>
          <cell r="V63" t="str">
            <v>25/09/2024
02/12/2024
06/01/2025
24/03/2025
12/05/2025
10/11/2025</v>
          </cell>
          <cell r="W63">
            <v>46152</v>
          </cell>
          <cell r="X63" t="str">
            <v>Six-monthly</v>
          </cell>
          <cell r="Y63" t="str">
            <v>Not overdue</v>
          </cell>
        </row>
        <row r="64">
          <cell r="A64">
            <v>3.4</v>
          </cell>
          <cell r="B64" t="str">
            <v>Strong and effective collaborative arrangements are operating at a system level</v>
          </cell>
          <cell r="C64" t="str">
            <v xml:space="preserve">Chris Edwards
Chief Executive
</v>
          </cell>
          <cell r="D64" t="str">
            <v>Marianna Hargreaves 
Mark Janvier</v>
          </cell>
          <cell r="E64" t="str">
            <v>System Leadership Executive Group</v>
          </cell>
          <cell r="F64" t="str">
            <v>Accountable</v>
          </cell>
          <cell r="G64" t="str">
            <v>South Yorkshire Joint Forward Plan</v>
          </cell>
          <cell r="H64" t="str">
            <v>SY042, SY115, SY028, SY116, SY117, SY107, SY128, SY113, SY040, SY082, SY066 IL18</v>
          </cell>
          <cell r="I64" t="str">
            <v xml:space="preserve">1) Strong and effective South Yorkshire Integrated Care Partnership linked into Health and Wellbeing Boards and Place Partnerships, with clear communication procesess and operating arrangements. 
2) Alongside a strong and effective System Leadership Group at operating across South Yorkshire, with clear operating and reporting arrangements at system level.                  </v>
          </cell>
          <cell r="J64" t="str">
            <v>Internal assurance through relevant committees including Place Committees and Operational Executive,</v>
          </cell>
          <cell r="K64" t="str">
            <v>1) Assurance through Health and Wellbeing Boards, 
2) Department of Health and Social Care
3) NHSE 
4) CQC</v>
          </cell>
          <cell r="L64" t="str">
            <v>2 x 3 = 6</v>
          </cell>
          <cell r="M64" t="str">
            <v>No gap in control</v>
          </cell>
          <cell r="N64" t="str">
            <v>Ongoing, effective leadership and collabortive working to enable the development of our South Yorkshire Integrated Care Partnership and System Leaders Executive Group.</v>
          </cell>
          <cell r="O64" t="str">
            <v>Greater certainty of finance and ensuring clarity for all partners of their role and responsibility in contributing and collaborating in system level operating arrangements</v>
          </cell>
          <cell r="P64" t="str">
            <v>2 x 3 = 6</v>
          </cell>
          <cell r="Q64" t="str">
            <v>Medium</v>
          </cell>
          <cell r="R64" t="str">
            <v>Lines of defence as described in place including assurance through internal committees and forums as described provide rationale for level of assurance.</v>
          </cell>
          <cell r="S64" t="str">
            <v>1) Continue to develop South Yorkshire Integrated Care Partnership and connectivity with Health and Wellbeing Boards
2) Continue to develop SY System Leaders Executive Group, review to be completed by the end of Q2 25/26.</v>
          </cell>
          <cell r="T64" t="str">
            <v>ICP Membership refreshed and enhanced forward planning in motion. Development session proposed for July, after publication of the National 10 Year Health Plan.</v>
          </cell>
          <cell r="U64" t="str">
            <v xml:space="preserve">
No</v>
          </cell>
          <cell r="V64" t="str">
            <v>13/09/2024
10/02/2025
15/04/2025
13/10/2025
04/11/2025</v>
          </cell>
          <cell r="W64">
            <v>46146</v>
          </cell>
          <cell r="X64" t="str">
            <v>Six-Monthly</v>
          </cell>
          <cell r="Y64" t="str">
            <v>Not overdue</v>
          </cell>
        </row>
        <row r="65">
          <cell r="A65" t="str">
            <v>3.5.</v>
          </cell>
          <cell r="B65" t="str">
            <v xml:space="preserve">There are effective quality management systems operating (improvement and transformation) which enable the delivery of the financial and operaitonal plan.
</v>
          </cell>
          <cell r="C65" t="str">
            <v>Lee Outhwaite   
Chief Finance Officer</v>
          </cell>
          <cell r="D65" t="str">
            <v>Jade Rose   
Kieran Baker</v>
          </cell>
          <cell r="E65" t="str">
            <v>Finance and Investment Committee</v>
          </cell>
          <cell r="F65" t="str">
            <v>Accountable</v>
          </cell>
          <cell r="G65" t="str">
            <v>South Yorkshire Joint Forward Plan</v>
          </cell>
          <cell r="H65" t="str">
            <v xml:space="preserve">SY115, SY116, SY117, SY124, SY028, SY082, SY107, SY040, SY066, SY127 </v>
          </cell>
          <cell r="I65" t="str">
            <v>1)A revised workforce plan has been produced as part of the 2026/27 planning process.
2)We will need to let provider colleagues deliver that plan via oversight by NHSE in their revised provider oversight role, with our support.</v>
          </cell>
          <cell r="J65" t="str">
            <v>ICB Formal Executive Group and Board for oversight of the revised workforce oversight process beyond the Q1 26/27 transition of the ICB to the new TOM.</v>
          </cell>
          <cell r="K65" t="str">
            <v>Reporting is now being reviewed in the Executive and we will next review the best way to update the wider Board and Assurance Committees.</v>
          </cell>
          <cell r="L65" t="str">
            <v xml:space="preserve">4 x 4 = 16
</v>
          </cell>
          <cell r="M65" t="str">
            <v>No gaps in control</v>
          </cell>
          <cell r="N65" t="str">
            <v>Further work is now need on the reporting to both FIC and Turnaround Assurance Subcommittee</v>
          </cell>
          <cell r="O65" t="str">
            <v>Single PMO and now Turnaround approach established, supported and implemented within the ICB, but we will need to address the need and approach for wider system transformation and the new operating model in 26/27 and beyond, which utilises our strategic commissioning role.</v>
          </cell>
          <cell r="P65" t="str">
            <v>4 x 4 = 16</v>
          </cell>
          <cell r="Q65" t="str">
            <v>Medium</v>
          </cell>
          <cell r="R65" t="str">
            <v xml:space="preserve">We will need to development and roll out of the system and processes to enable major change programmes via our narrower strategic commissioning role. </v>
          </cell>
          <cell r="S65" t="str">
            <v>Further work is now required to provide even greater assurance on our Savings and Financial Recovery measures to both FIC and the Turnaround Subcommittee - by when</v>
          </cell>
          <cell r="T65" t="str">
            <v xml:space="preserve">September 2025 - Staff in post for PMO work and now we have the right nominees for our Turnaround structures which have a much better overview of our ICB project portfolio.  We are now reviewing how we can flow the reporting on a monthly basis through an expanded Improvement and Value group to the Executive and then into the Assurance function about the range of transformation and change projects we are trying to deliver, which has addressed previous identified gaps in control.  We have now reviewed all of the change initiatives, prioritised them and have now developed a reporting mechanism to enable us to understand the impact of each of and the overall initiatives, addressing the gaps in assurance. We now have an agreement on ways of working across the organisation to support delivery of transformation activity and understanding of financial impact and performance delivery.  We have clarified the SRO structure and the initiatives to be captured at a place level or entity wide and are incorporating further financial recovery actions via our new Turnaround structures.
March 2026 - We will need to work out how this risk is managed in a new way following our organisational redesign and the change in the scope of the ICB role.
</v>
          </cell>
          <cell r="U65" t="str">
            <v>Financial systems and budget setting, reporting and effectiveness  - also an audit CIP approach is included in the 25/26 IA plan.</v>
          </cell>
          <cell r="V65" t="str">
            <v>16/10/2024
27/03/2025
12/08/2025
23/09/2025
06/01/2026
31/03/2026</v>
          </cell>
          <cell r="W65">
            <v>46142</v>
          </cell>
          <cell r="X65" t="str">
            <v>Monthly</v>
          </cell>
          <cell r="Y65" t="str">
            <v>Not overdue</v>
          </cell>
          <cell r="Z65" t="str">
            <v xml:space="preserve">We now have an agreement on ways of working across the organisation to support delivery of transformation activity and understanding of financial impact and performance delivery, the next step in </v>
          </cell>
        </row>
        <row r="66">
          <cell r="A66" t="str">
            <v>3.6.</v>
          </cell>
          <cell r="B66" t="str">
            <v xml:space="preserve">Our workforce is capable to work as one workforce across the ICS with well governed systems and processes in place, without which we will have less integrated services and potentially fragmentation/duplication across the ICS.  </v>
          </cell>
          <cell r="C66" t="str">
            <v>Christine Joy 
Chief People Officer</v>
          </cell>
          <cell r="D66" t="str">
            <v>No delegate</v>
          </cell>
          <cell r="E66" t="str">
            <v>Board, supported by:
 - People, Workforce and Culture Committee</v>
          </cell>
          <cell r="F66" t="str">
            <v>Accountable</v>
          </cell>
          <cell r="G66" t="str">
            <v>South Yorkshire Joint Forward Plan</v>
          </cell>
          <cell r="H66" t="str">
            <v>SY091, SY028, SY116</v>
          </cell>
          <cell r="I66" t="str">
            <v>1) Workforce strategy (Working Together pathway) approved by Board Dec 24.   ICP Board meeting Jan 25
2) Ensure working relationships are established across sectors, places, professions to enable collaboration to address workforce challenges, as part of the development and delivery of the pathway (planning). 
3) System workforce programmes are in place to address the key workforce, monitored through the ICS PWC programme Board reporting to the ICS PWC system delivery group.  Ending up at the ICS SLE highlighting any risks/development/transformation areas. 
4) ICB reports ICS activity and risks to the PWC Assurance Committee and to Board.  
5) Relevant data flows are in place to identify insights and risks and to support more effective workforce planning.</v>
          </cell>
          <cell r="J66" t="str">
            <v xml:space="preserve">1) People Workforce and Culture Subcommittee /ICB Board for Assurance 
2) ICB Formal Executive Group and Board for Executive decision making
3) People and Culture Programme Board/ People and Culture System Delivery Group /System Leadership Executive for ICS Executive decisions. </v>
          </cell>
          <cell r="K66" t="str">
            <v>1) Internal audit 
2) CQC Well Led
3) NHS England Returns 
4) Ambition within the integrated care strategy</v>
          </cell>
          <cell r="L66" t="str">
            <v>3 x 3 = 9</v>
          </cell>
          <cell r="M66" t="str">
            <v xml:space="preserve"> Possible lack of effective workforce planning.
possible pressure on ICB workforce costs.  </v>
          </cell>
          <cell r="N66" t="str">
            <v>Funding for workforce hub to continue workforce development/improvement/transformation programmes. 
Understanding about the concept of 'one workforce'.</v>
          </cell>
          <cell r="O66" t="str">
            <v xml:space="preserve">1) Completion and launch of strategy to support the 4th Bold Ambition in the Integrated Care Strategy in Q2 24/25 - strategy development delayed - now expected Q3 24/25 (update please)
2) Implement new People Function operating model to secure workforce hub infrastructure roles
3) Clarity over the NHSE operating model and funding flows - currently in flux due to change in NHSE CEO.  
4) Implementation of the agreed working together pathway - development of the workplan and resources to deliver. </v>
          </cell>
          <cell r="P66" t="str">
            <v>3 x 2 = 6</v>
          </cell>
          <cell r="Q66" t="str">
            <v>Medium</v>
          </cell>
          <cell r="R66" t="str">
            <v>The risk score reflects an overall workforce view.  The maintenance of a system workforce risk register (via ICS PWC programme Board) enables the prioritisation and action for specifically affected areas.</v>
          </cell>
          <cell r="S66" t="str">
            <v>1) Improvement programme in respect of workforce planning capability to be reviewed by end of Q2 25/26
2) Development of the action plan and agree priorities to take the pathway forward to be completed by end of Q3 25/26</v>
          </cell>
          <cell r="T66" t="str">
            <v xml:space="preserve">Workforce strategy launch now likely Q3
Workforce hub hosting arrangements have ceased and most staff transferred to ICB 1 April 2024 or 1 September 2024.
Workforce planning activity is taking place across the ICS including communities of practice and specific support.
</v>
          </cell>
          <cell r="U66" t="str">
            <v>Workforce Planning</v>
          </cell>
          <cell r="V66" t="str">
            <v>18/10/2024
03/03/2025</v>
          </cell>
          <cell r="W66">
            <v>45903</v>
          </cell>
          <cell r="X66" t="str">
            <v>Six-monthly</v>
          </cell>
          <cell r="Y66" t="str">
            <v xml:space="preserve">-211 </v>
          </cell>
        </row>
        <row r="67">
          <cell r="A67" t="str">
            <v>3.7.</v>
          </cell>
          <cell r="B67" t="str">
            <v>The ICB is appropriately delivering the right financial environment to optimise the broader value of the health and care system, which addresses the inefficiency in the incumbent costs of provision, in order to try and redeploy resource towards upstream and preventative interventions.  This would then enable the broader determinants of disease to be addressed, and therefore help to deliver a balanced plan.</v>
          </cell>
          <cell r="C67" t="str">
            <v>Lee Outhwaite   
Chief Finance Officer</v>
          </cell>
          <cell r="D67" t="str">
            <v>No delegate</v>
          </cell>
          <cell r="E67" t="str">
            <v>Board, supported by:
 - Finance and Investment Committee
- Turnaround Committee - Operational Executive</v>
          </cell>
          <cell r="F67" t="str">
            <v>Responsible</v>
          </cell>
          <cell r="G67" t="str">
            <v>South Yorkshire Joint Forward Plan / BAF 2023</v>
          </cell>
          <cell r="H67" t="str">
            <v>SY042,
IL02</v>
          </cell>
          <cell r="I67" t="str">
            <v>1) Finance, Capital and Estates Delivery Group
2) System Leadership Group 
3) Operational Executive
4) Finance and Investment Committee</v>
          </cell>
          <cell r="J67" t="str">
            <v xml:space="preserve">1) Operational Executive                                                       
2) Management within each provider and within each place 
3) Oversight from Corporate ICB finance team
</v>
          </cell>
          <cell r="K67" t="str">
            <v>1) NHSE routine monthly financial oversight and engagement 
2) Key financial control monitoring from Internal Audit
3) Financial scrutiny via external audit process
4) Contribution to Model Hospital and Model Health System</v>
          </cell>
          <cell r="L67" t="str">
            <v>3 x 4 = 12</v>
          </cell>
          <cell r="M67" t="str">
            <v xml:space="preserve">We are now working through a series of steps to try and ensure we deliver our approved plan submitted for 26/27, this includes clear organisational accountability and a clarity around the financial project that are going to be delivered jointly and overseen through System Efficiency Board and the Turnaround Subcommittee of the Board.   </v>
          </cell>
          <cell r="N67" t="str">
            <v xml:space="preserve">We have updated NHSE on the difficulty of delivering the approved plan at out NOF3 Oversight meeting through 2025/26.  We will review the rapid plan review proposed actions, which is planned for April 2026.          </v>
          </cell>
          <cell r="O67" t="str">
            <v>We are now working with NHSE and across the system to establish if there are further actions that we can take to deliver the plan, (which will involve a rapid plan review overight project) commening in May. 
We are now undertaking further work with NHSE and across the system and within the ICB to establish if there are further actions that we can take to deliver the plan, for 2026/27, given our inability to deliver the plan in 2025/26.</v>
          </cell>
          <cell r="P67" t="str">
            <v>5 x 4 = 20</v>
          </cell>
          <cell r="Q67" t="str">
            <v>Low</v>
          </cell>
          <cell r="R67" t="str">
            <v>The ICB and NHS system partners did not deliver the required financial outturn in 24/25 or 25/26. 
ICB and NHS system partners now in receipt of third party oversight from NHSE as part of the NOF3 process</v>
          </cell>
          <cell r="S67" t="str">
            <v>Deloittes have re-reviewed our control environment in July and we are have responded to the plan assurance work commissioned by NHSE in May 2025.  We are now going to have a rapid plan review by NHSE in April 2026, and we will respond to that review.</v>
          </cell>
          <cell r="T67" t="str">
            <v>September 2025- Specific actions that were proposed as part of the I&amp;I work have now been delivered, specifically around the financial control environment and further potential opportunities for savings. We continue to be in receipt of third party oversight from NHSE as part of the NOF3 process. Deloittes have re-reviewed our control environment in July and we are have responded to the plan assurance work commissioned by NHSE in May 2025</v>
          </cell>
          <cell r="U67" t="str">
            <v xml:space="preserve">Specific actions that were proposed as part of the I&amp;I work have now been delivered, specifically around the financial control environment and further potential opportunities for savings.  - This reads more as an update, so it is now included in the update section. Is there any further planned audits?
</v>
          </cell>
          <cell r="V67" t="str">
            <v>08/10/2024
30/01/2025
13/03/2025
02/05/2025
23/06/2025
30/07/2025
23/09/2025
31/03/2026</v>
          </cell>
          <cell r="W67">
            <v>46142</v>
          </cell>
          <cell r="X67" t="str">
            <v>Monthly</v>
          </cell>
          <cell r="Y67" t="str">
            <v>Not overdue</v>
          </cell>
        </row>
        <row r="68">
          <cell r="A68" t="str">
            <v>3.9.</v>
          </cell>
          <cell r="B68" t="str">
            <v>The ICB effectively uses of digital and data to better understand and enable transformation of productivity and VfM in health and care delivery</v>
          </cell>
          <cell r="C68" t="str">
            <v>Dr David Crichton 
Chief Medical Officer</v>
          </cell>
          <cell r="D68" t="str">
            <v>Kieran Baker</v>
          </cell>
          <cell r="E68" t="str">
            <v>ICB Board
IG Group (Covering Cyber, Digital and Data Security, Clinical Safety)
Place Committees
Quality Performance Patient Involvement Experience (QPPIE)</v>
          </cell>
          <cell r="F68" t="str">
            <v>Accountable</v>
          </cell>
          <cell r="G68" t="str">
            <v>South Yorkshire Joint Forward Plan</v>
          </cell>
          <cell r="H68" t="str">
            <v>SY044; SY061</v>
          </cell>
          <cell r="I68" t="str">
            <v xml:space="preserve">1) ICS Data and Insight Strategy
2) ICS Digital Strategy
3) Digital, Research and Innovation SDG
4) ICS Cyber Strategy
</v>
          </cell>
          <cell r="J68" t="str">
            <v>1) Digital, Data and Technology Delivery Oversight Group
2) South Yorkshire Cyber Forum</v>
          </cell>
          <cell r="K68" t="str">
            <v>1) 360 Audit - Data Strategy
2) 360 Audit - Data Quality and Performance Management
3) NHSE NEY Digital Transformation Programme</v>
          </cell>
          <cell r="L68" t="str">
            <v>2 x 2 = 4</v>
          </cell>
          <cell r="M68" t="str">
            <v>No gaps identified</v>
          </cell>
          <cell r="N68" t="str">
            <v>No gaps identified</v>
          </cell>
          <cell r="O68" t="str">
            <v>1) Development of analytical approach to population health management (Initiative 5 of the ICS Data and Insight Strategy)
2) Improvement in scope and standardisation of Shared Care Records in South Yorkshire.
3) Roll-out Eclipse Risk Stratification across South Yorkshire
4) Ingestion of Primary Care (GP) data into the South Yorkshire Data Platform to support data linkage and better understanding of patient health and care requirements to support improved decision-making.</v>
          </cell>
          <cell r="P68" t="str">
            <v>2 x 1 = 2</v>
          </cell>
          <cell r="Q68" t="str">
            <v>Medium</v>
          </cell>
          <cell r="R68" t="str">
            <v>Work continuing through the Improvement and Value Group, led by Lee Outhwaite to ensure that we are utilising our data effectively to enable insight-driven decision-making. New analytical products are being built alongside place colleagues so that opportunities for improvement can be identified. Also, work is taking place PMO to improve reporting of benefits alongside transformation activities.</v>
          </cell>
          <cell r="S68" t="str">
            <v xml:space="preserve">No gaps identified at this time, no action required.  </v>
          </cell>
          <cell r="T68" t="str">
            <v>January 2026 - DDaT Workforce and Skills strategy has been approved, and the ICS Digital Strategy has also been approved. Both strategies are pending comms and publications on the ICS website. Delivery will be planned over the coming months with further understanding of where digital work will be lead following Model ICB reconfiguration.</v>
          </cell>
          <cell r="U68" t="str">
            <v xml:space="preserve">
No</v>
          </cell>
          <cell r="V68" t="str">
            <v>21/10/2024
13/03/2025
27/03/2025
30/06/2025
07/10/2025
05/01/2026</v>
          </cell>
          <cell r="W68">
            <v>46392</v>
          </cell>
          <cell r="X68" t="str">
            <v>Annually</v>
          </cell>
          <cell r="Y68" t="str">
            <v>Not overdue</v>
          </cell>
        </row>
        <row r="69">
          <cell r="A69" t="str">
            <v xml:space="preserve">3.10. </v>
          </cell>
          <cell r="B69" t="str">
            <v xml:space="preserve">The ICB is improving digital inclusion to ensure optimal use of digital and data solutions for our citizens and wider population
</v>
          </cell>
          <cell r="C69" t="str">
            <v>Dr David Crichton 
Chief Medical Officer</v>
          </cell>
          <cell r="D69" t="str">
            <v>Kieran Baker</v>
          </cell>
          <cell r="E69" t="str">
            <v>ICB Board
IG Group (Covering Cyber, Digital and Data Security, Clinical Safety)
Place Committees
Quality Performance Patient Involvement Experience (QPPIE)</v>
          </cell>
          <cell r="F69" t="str">
            <v>Accountable</v>
          </cell>
          <cell r="G69" t="str">
            <v>South Yorkshire Joint Forward Plan</v>
          </cell>
          <cell r="H69" t="str">
            <v>SY044; SY061</v>
          </cell>
          <cell r="I69" t="str">
            <v xml:space="preserve">1) ICS Data and Insight Strategy
2) ICS Digital Strategy
3) ICS Cyber Strategy
4) Digital, Research and Innovation SDG
</v>
          </cell>
          <cell r="J69" t="str">
            <v>Digital, Data and Technology Delivery Oversight Group</v>
          </cell>
          <cell r="K69" t="str">
            <v xml:space="preserve">1) NHSE NEY Digital Transformation Programme
2) Primary Care Alliance
3) SY Digital Inclusion Audit
</v>
          </cell>
          <cell r="L69" t="str">
            <v>2 x 2 = 4</v>
          </cell>
          <cell r="M69" t="str">
            <v xml:space="preserve">1) Ongoing commitment to a Digital Inclusion programme with a fully-funded annual programme to support the 10 year plan which expects a digital-first NHS.
2)  Public ability to seek support from services available throughout SY via VCSE due to a lack of central coordinated service catalogue from across all four places. </v>
          </cell>
          <cell r="N69" t="str">
            <v>No gaps in assurance</v>
          </cell>
          <cell r="O69" t="str">
            <v>Creating a standardised approach across all four places for supporting our South Yorkshire population navigate an increasingly digital society between 2024 and 2026</v>
          </cell>
          <cell r="P69" t="str">
            <v>2 x 1 = 2</v>
          </cell>
          <cell r="Q69" t="str">
            <v>High</v>
          </cell>
          <cell r="R69" t="str">
            <v xml:space="preserve">Dedicated programmes of work supporting development of this agenda are being reviewed and shared with Board. Working closely with VCSE alliance on a new digital offer for our public. Improvements to adoption of tools such as GP Online Registration and NHSApp.
</v>
          </cell>
          <cell r="S69" t="str">
            <v xml:space="preserve">1. Attain support for the Digital Transformation the strategy, which outlines the importance of Digital Inclusion, from System Leaders Executive by end of October 2025
2) There is a need to review the implementation plan with SY partners in light of the Model ICB to determine which organisation will lead on specific programmes (including digital inclusion) outlined within the strategy by end of Q4 25/26
3)  Develop a single, AI-drive service finder tool that the public can use to find VSCE services to support self-care. This is currently being piloted through the Growth Accelerator Hub.
4) Identify recurrent funding for the Digital Inclusion agenda to support analogue to digital set out in the 10 year plan, with a specific aim of helping the public better utilise a digital NHS, by Q4 25/26
</v>
          </cell>
          <cell r="T69" t="str">
            <v>05/01/2026 - All strategies now approved and pending publication on the ICS website. Delivery will commence once we have better clarity on how digital will be led following Model ICB implementation. The ICB remains part of the national Copilot trial and hence will have licenses paid for NHSE until March 2027. The DDaT Team will continue to build the AI Adoption Framework to support partners to adopt AI tools to improve productivity and outcomes.</v>
          </cell>
          <cell r="U69" t="str">
            <v xml:space="preserve">
No</v>
          </cell>
          <cell r="V69" t="str">
            <v>20/01/2025
13/03/2025
19/03/2025
30/06/2025
18/08/2025
07/10/2025
05/01/2026</v>
          </cell>
          <cell r="W69">
            <v>46392</v>
          </cell>
          <cell r="X69" t="str">
            <v>Annually</v>
          </cell>
          <cell r="Y69" t="str">
            <v>Not overdue</v>
          </cell>
        </row>
        <row r="70">
          <cell r="A70" t="str">
            <v>3.11.</v>
          </cell>
          <cell r="B70" t="str">
            <v>Operational and Strategic Financial planning is effective.   Failure to meet this may result in escalated regulatory oversight.</v>
          </cell>
          <cell r="C70" t="str">
            <v>Lee Outhwaite   
Chief Finance Officer</v>
          </cell>
          <cell r="D70" t="str">
            <v>No delegate</v>
          </cell>
          <cell r="E70" t="str">
            <v>Finance and Investment Committee</v>
          </cell>
          <cell r="F70" t="str">
            <v>Responsible</v>
          </cell>
          <cell r="G70" t="str">
            <v>South Yorkshire Joint Forward Plan</v>
          </cell>
          <cell r="H70" t="str">
            <v>SY042, IL20</v>
          </cell>
          <cell r="I70" t="str">
            <v xml:space="preserve">1) Finance, Capital and Estates Delivery Group                     
2) SY Finance Leads / Teams                                                                                
3) System Leadership Executive
4) Turnaround Structures and newly developed
</v>
          </cell>
          <cell r="J70" t="str">
            <v>1) Operational Executive and Formal Executive Group updates                                                     
2)  Management within each provider and within each place 
3) Oversight from Corporate ICB finance team</v>
          </cell>
          <cell r="K70" t="str">
            <v>NHSE oversight of the plan has resulted in the I&amp;I Oversight and the Deloittes ongoing engagement, we are now reviewing the in-year financial challenge for 25/26 as well as the delivery of the base 25/26 savings programme.</v>
          </cell>
          <cell r="L70" t="str">
            <v>3x4=12</v>
          </cell>
          <cell r="M70" t="str">
            <v>We have developed a broadly operationally compliant and break even financial plan for 26/27.  We are now working through how manage all the risks associated with effectively delivery  - this reads as an update opposed to a defined gap, what is the gap?</v>
          </cell>
          <cell r="N70" t="str">
            <v>No gaps in assurance</v>
          </cell>
          <cell r="O70" t="str">
            <v xml:space="preserve">Ensuring we are operating at sufficient pace with a manageable set of initiatives across all of our work programmes to ensure we are delivering the best results for 26/27, whilst successfully address the impact of the organisation change programme.
</v>
          </cell>
          <cell r="P70" t="str">
            <v>4 x 4 = 16</v>
          </cell>
          <cell r="Q70" t="str">
            <v>Medium</v>
          </cell>
          <cell r="R70" t="str">
            <v xml:space="preserve">Plan for 25/26 fell short despite good engagement from NHS and wider partners, mainly due to in-year pressures on Right to Choose Activity and an inability to live within the budget set for All Age Continuing Care Costs..
ICB now in receipt of third party oversight now from NHSE as part of the NOF3 process.
</v>
          </cell>
          <cell r="S70" t="str">
            <v>We have responded to the Deloittes work and have incepted a series Turnaround structures which we need to further enhance</v>
          </cell>
          <cell r="T70" t="str">
            <v>September 2025 - We have completed the plan for 25/26, and are now on with the approach to plan delivery, most particularly the delivery of the base CIPs and the approach to managing emergent cost pressures.  We are now engaging with the proposed process for more medium term planning and the approach to addressing the "Ten Year - Long Term Plan.  We have agreed the outline steps required for planning in 25/26 which we are now aligning to the national requirements. 
March 2026 - We have received assurance on our plan submission for 2026/27, a further rapid review of the plan is planned for April 2026 and we will respond to that along with the need to further develop of financial delivery architecture as we deliver the organisational change programme.</v>
          </cell>
          <cell r="U70" t="str">
            <v>We are reviewing our overall approach to CIP via an internal audit review in October 2025.
We are further reviewing our overall approach to CIP via an internal audit review in Q3 2026/27.</v>
          </cell>
          <cell r="V70" t="str">
            <v>08/10/2024
30/01/2025
13/03/2025
02/05/2025
30/07/2025
23/09/2025
31/03/2026</v>
          </cell>
          <cell r="W70">
            <v>46203</v>
          </cell>
          <cell r="X70" t="str">
            <v>Quarterly</v>
          </cell>
          <cell r="Y70" t="str">
            <v>Not overdue</v>
          </cell>
        </row>
        <row r="71">
          <cell r="A71" t="str">
            <v>Objective 4:  Help the NHS Support Broader Social and Economic Value 
Executive Lead - Chief Finance Officer</v>
          </cell>
          <cell r="L71" t="str">
            <v xml:space="preserve">Risk Appetite
9 </v>
          </cell>
          <cell r="P71" t="str">
            <v xml:space="preserve">Risk Appetite
9 </v>
          </cell>
        </row>
        <row r="72">
          <cell r="A72" t="str">
            <v>4.3 - B</v>
          </cell>
          <cell r="B72" t="str">
            <v xml:space="preserve">Improvement and transformation workstreams within Places are being delivered with impact on the wider system being considered. </v>
          </cell>
          <cell r="C72" t="str">
            <v>Katie Calvin-Thomas
Barnsley Place Director</v>
          </cell>
          <cell r="D72" t="str">
            <v>Jamie Wike</v>
          </cell>
          <cell r="E72" t="str">
            <v>Finance and Investment Committee</v>
          </cell>
          <cell r="F72" t="str">
            <v>Accountable</v>
          </cell>
          <cell r="G72" t="str">
            <v>South Yorkshire Joint Forward Plan / BAF 2023</v>
          </cell>
          <cell r="H72" t="str">
            <v>SY044, SY042, SY107, SY128, SY082, SY106</v>
          </cell>
          <cell r="I72" t="str">
            <v>Place Committee 
Partnership Agreements (held within Corporate Governance team)
Population Health and Health Inequalities System Delivery Group 
System Leaders Executive
Formal Executive Group</v>
          </cell>
          <cell r="J72" t="str">
            <v>Strategies and plans through a Governance process/ committees are in operation</v>
          </cell>
          <cell r="K72" t="str">
            <v>Internal Audit (360 Assurance)</v>
          </cell>
          <cell r="L72" t="str">
            <v>3 x 3 = 9</v>
          </cell>
          <cell r="M72" t="str">
            <v>Prioritisation of communities across SY identified as most in need and differential funding to help address gap in access care and outcomes</v>
          </cell>
          <cell r="N72" t="str">
            <v xml:space="preserve">Consideration to quality improvement methodology and approach to manage programmes and plans. </v>
          </cell>
          <cell r="O72" t="str">
            <v>The completion of the organisational change process and confirmation of new Strategic and Operational Plan/priorities will ensure resource is aligned appropriately to ensure workstreams deliver outcomes and impact.</v>
          </cell>
          <cell r="P72" t="str">
            <v>4 x 4 = 16</v>
          </cell>
          <cell r="Q72" t="str">
            <v>Medium</v>
          </cell>
          <cell r="R72" t="str">
            <v>Implemented and review and progress update across the team at least once a month
PMO monthly meeting in Place
Reporting to SMT on progress and escalate any risks</v>
          </cell>
          <cell r="S72" t="str">
            <v>Full oversight of work programmes which includes activity impact reporting  at the Barnsley Delivery and Efficiency Group, and this is considered on a monthly basis throughout 2025/6 with any issues flagged at the meetings, mitigating actions are put in place .</v>
          </cell>
          <cell r="T72" t="str">
            <v xml:space="preserve">Dec 2025 - QSIR Training has been completed by all team members, PMO process is in place and Business Continuity planning has taken place to mitigate the impact of vacancy control and organisational change and to ensure capacity remains focussed upon priorities.
</v>
          </cell>
          <cell r="U72" t="str">
            <v>None</v>
          </cell>
          <cell r="V72" t="str">
            <v>25/09/2024
11/11/2024
10/02/2025
27/03/2025
30/05/2025
04/07/2025
14/08/2025
18/09/2025
24/10/2025
12/12/2025
12/01/2026  
16/02/2026  
27/03/2026</v>
          </cell>
          <cell r="W72">
            <v>46139</v>
          </cell>
          <cell r="X72" t="str">
            <v>Monthly</v>
          </cell>
          <cell r="Y72" t="str">
            <v>Not overdue</v>
          </cell>
        </row>
        <row r="73">
          <cell r="A73" t="str">
            <v>4.3 - R</v>
          </cell>
          <cell r="B73" t="str">
            <v>Improvement and transformation workstreams within Places are being delivered.</v>
          </cell>
          <cell r="C73" t="str">
            <v xml:space="preserve">Anthony Fitzgerald
Doncaster / Rotherham Place Director
</v>
          </cell>
          <cell r="D73" t="str">
            <v xml:space="preserve">Claire Smith
</v>
          </cell>
          <cell r="E73" t="str">
            <v>Finance and Investment Committee</v>
          </cell>
          <cell r="F73" t="str">
            <v>Accountable</v>
          </cell>
          <cell r="G73" t="str">
            <v>South Yorkshire Joint Forward Plan / BAF 2023</v>
          </cell>
          <cell r="H73" t="str">
            <v>SY044, SY042, SY107, SY128, SY082, SY106</v>
          </cell>
          <cell r="I73" t="str">
            <v>1) Place Committee papers 
2) Partnership Agreements - Place Board TORS/Rotherham Together Partnership Board TORS/H&amp;WB TORS
3) Population Health and Health Inequalities System Delivery Group (papers)
4) System Leaders Executive (Papers)
5) Operational Executive ( FEG - Papers)
6) Rotherham Chief Executives Meeting (minutes, reports available)</v>
          </cell>
          <cell r="J73" t="str">
            <v xml:space="preserve">1)Producing strategies and plans through a Governance process/ committees  - copies of Place Plan/H&amp;WB etc available on request 
2)A3s completed as required from PMO to support assurance to SY executive - work ongoing on priorities for demand management </v>
          </cell>
          <cell r="K73" t="str">
            <v>NHSE review of Health Inequalities focussed funding</v>
          </cell>
          <cell r="L73" t="str">
            <v>3 x 3 = 9</v>
          </cell>
          <cell r="M73" t="str">
            <v xml:space="preserve">Prioritisation of communities across SY identified as most in need and differential funding to help address gap in access care and outcomes.
</v>
          </cell>
          <cell r="N73" t="str">
            <v xml:space="preserve">Consideration to quality improvement methodology and approach to manage programmes and plans. 
</v>
          </cell>
          <cell r="O73" t="str">
            <v>QSIR Training continues in the ICB, and we are further reviewing our system wider approach to the PMO and tracking our improvement/transformation work.</v>
          </cell>
          <cell r="P73" t="str">
            <v>5 x 4 = 20</v>
          </cell>
          <cell r="Q73" t="str">
            <v>High</v>
          </cell>
          <cell r="R73" t="str">
            <v xml:space="preserve">Several workshops have taken place around our social value commitments across Place in late 2024. There has been a set of actions and a report agreed through Place Executive ICB and the Rotherham Together Partnership to take this forward (document available) endorsed in Jan 2025. Our Place Board has regular updates from all priority programme areas which covers any actions relating to improvement and transformation (these reports/presentations can be made available. Place Executive team also receieve regular updates on transformation programmes. We also have monthly performance meetings with providers (TRFT/ RDASH etc). in relation to the high impact workstreams we have a executive meeting with trust colleagues where updates and assurance is provided and dashboards with outcomes data and trends has been developed for each programme of work. exec meeting to be held July - agree priorities in community services review. Seeing positive improvements in respiratory and diabetes admission rates - and overall admission rate. Activity in A&amp;E is a pressure still with work underway to analyse. Work on demand management continues and alongside this we are meeting Trust colleagues to understand what indicators would have to improve to reduce beds with the acute and therefore ££s. A3 completed on this and 2 meetings have taken place with TRFT and BHT collectively to progress. 
</v>
          </cell>
          <cell r="S73" t="str">
            <v>1) Reviewing approach to savings and transformation between organisations, places and collaboratives as part of 26/27 planning preparations. Budget review meeting took place in November with further savings identified in year and into next year. 
 2) ICB Transformation PMO review completed and methodology and approach being implemented - action is ongoing throughout 2025/6 as we review priorities and what should be reported through Aspyre.</v>
          </cell>
          <cell r="T73" t="str">
            <v xml:space="preserve">November 2025 -  Reviewing approach to savings and transformation between organisations, places and collaboratives for 2025/6 is complete with savings identified to contribute to the turnaround efficiency programme. Commenced same process for 26 27 as part of planning preparation and commissioning intentions are being developed. </v>
          </cell>
          <cell r="U73" t="str">
            <v>Audit ICB contribution to social value in 2025/6</v>
          </cell>
          <cell r="V73" t="str">
            <v>07/10/2024
11/11/2024
16/12/2024
06/01/2025
20/01/2025
30/01/2025
03/03/2025
04/04/2025
06/05/2025
14/07/2025
21/08/2025
22/09/2025
01/10/2025
03/11/2025
04/11/2025
08/12/2025
12/01/2026
16/02/2026</v>
          </cell>
          <cell r="W73">
            <v>46097</v>
          </cell>
          <cell r="X73" t="str">
            <v>Monthly</v>
          </cell>
          <cell r="Y73" t="str">
            <v xml:space="preserve">-17 </v>
          </cell>
        </row>
        <row r="74">
          <cell r="A74" t="str">
            <v>4.3 - D</v>
          </cell>
          <cell r="B74" t="str">
            <v>Improvement and transformation workstreams within Places are being delivered.</v>
          </cell>
          <cell r="C74" t="str">
            <v xml:space="preserve">Anthony Fitzgerald
Doncaster / Rotherham Place Director
</v>
          </cell>
          <cell r="D74" t="str">
            <v>Ailsa Leighton</v>
          </cell>
          <cell r="E74" t="str">
            <v>Finance and Investment Committee</v>
          </cell>
          <cell r="F74" t="str">
            <v>Accountable</v>
          </cell>
          <cell r="G74" t="str">
            <v>South Yorkshire Joint Forward Plan / BAF 2023</v>
          </cell>
          <cell r="H74" t="str">
            <v>SY044, SY042, SY107, SY128, SY082, SY106</v>
          </cell>
          <cell r="I74" t="str">
            <v>1) Place Committee 
2) Partnership Agreements 
3) Population Health and Health Inequalities System Delivery Group
4) System Leaders Executive
5) Operational Executive</v>
          </cell>
          <cell r="J74" t="str">
            <v>1) Producing strategies and plans through a Governance process/ committees 
2) Strategies and plans through a Governance process/ committees are in operation</v>
          </cell>
          <cell r="K74" t="str">
            <v>Internal Audit assurance process (360 assurance)</v>
          </cell>
          <cell r="L74" t="str">
            <v>3 x 3 = 9</v>
          </cell>
          <cell r="M74" t="str">
            <v>Sufficient funding and workforce</v>
          </cell>
          <cell r="N74" t="str">
            <v xml:space="preserve">No gaps in assurance identified
</v>
          </cell>
          <cell r="O74" t="str">
            <v>QSIR Training continues in the ICB, and we are further reviewing our system wider approach to the PMO and tracking our improvement/transformation work.</v>
          </cell>
          <cell r="P74" t="str">
            <v>3 x 3 = 9</v>
          </cell>
          <cell r="Q74" t="str">
            <v>Medium</v>
          </cell>
          <cell r="R74" t="str">
            <v>South Yorkshire wide oversight via the fortnightly improvement and value meeting and at place via the Place Committee.</v>
          </cell>
          <cell r="S74" t="str">
            <v>Await further guidance regarding financial position following recent government announcement to reduce ICB running costs by 50%, by Q3 25/26</v>
          </cell>
          <cell r="T74" t="str">
            <v xml:space="preserve">February 2026 - reporting from Aspyre and the IPR continue to be presented to the Doncaster Formal SMT on a monthly basis; fortnightly QIPP forum continues with impact of schemes being monitored against expectations and remedial actions put in place where necessary.  This will be reviewed as the ICB transitions into its new form </v>
          </cell>
          <cell r="U74" t="str">
            <v xml:space="preserve">
No</v>
          </cell>
          <cell r="V74" t="str">
            <v>30/09/2024
24/11/2024
27/12/2024
17/03/2025
16/10/2025
20/10/2025
02/02/2026</v>
          </cell>
          <cell r="W74">
            <v>46144</v>
          </cell>
          <cell r="X74" t="str">
            <v>Quarterly</v>
          </cell>
          <cell r="Y74" t="str">
            <v>Not overdue</v>
          </cell>
        </row>
        <row r="75">
          <cell r="A75" t="str">
            <v>4.3 - S</v>
          </cell>
          <cell r="B75" t="str">
            <v>Improvement and transformation workstreams within Places are being delivered.</v>
          </cell>
          <cell r="C75" t="str">
            <v>Emma Latimer  
Sheffield Place Director</v>
          </cell>
          <cell r="D75" t="str">
            <v>Ian Atkinson</v>
          </cell>
          <cell r="E75" t="str">
            <v>Finance and Investment Committee</v>
          </cell>
          <cell r="F75" t="str">
            <v>Accountable</v>
          </cell>
          <cell r="G75" t="str">
            <v>South Yorkshire Joint Forward Plan / BAF 2023</v>
          </cell>
          <cell r="H75" t="str">
            <v>SY044, SY042, SY107, SY128, SY082, SY106</v>
          </cell>
          <cell r="I75" t="str">
            <v>1) Place Committee 
2) Partnership Agreements 
3) Population Health and Health Inequalities System Delivery Group
4) System Leaders Executive
5) Operational Executive</v>
          </cell>
          <cell r="J75" t="str">
            <v xml:space="preserve">Producing strategies and plans through a Governance process/ committees </v>
          </cell>
          <cell r="K75" t="str">
            <v>NHSE review of Health Inequalities focussed funding</v>
          </cell>
          <cell r="L75" t="str">
            <v>3 x 3 = 9</v>
          </cell>
          <cell r="M75" t="str">
            <v xml:space="preserve">Prioritisation of communities across SY identified as most in need and differential funding to help address gap in access care and outcomes.
</v>
          </cell>
          <cell r="N75" t="str">
            <v xml:space="preserve">Consideration to quality improvement methodology and approach to manage programmes and plans. 
</v>
          </cell>
          <cell r="O75" t="str">
            <v>QSIR Training continues in the ICB, and we are further reviewing our system wider approach to the PMO and tracking our improvement/transformation work.</v>
          </cell>
          <cell r="P75" t="str">
            <v>5 x 4 = 20</v>
          </cell>
          <cell r="Q75" t="str">
            <v>Low</v>
          </cell>
          <cell r="R75" t="str">
            <v xml:space="preserve">plans are in place in relation to Anchor organisations and social value.
</v>
          </cell>
          <cell r="S75" t="str">
            <v xml:space="preserve">1) Reviewing approach to savings and transformation between organisations, places and collaboratives as part of 23/24 planning - finalise July 2023 
2) ICB QSIR Quality Improvement Methodology Training Programme commenced January 2023
3) ICB Transformation PMO review completed and methodology and approach being implemented </v>
          </cell>
          <cell r="T75" t="str">
            <v xml:space="preserve">Improvement and Transformation workstreams are regularly reported through Aspyre, and that reports are presented through a number of forums.  </v>
          </cell>
          <cell r="U75" t="str">
            <v>No</v>
          </cell>
          <cell r="V75" t="str">
            <v>25/09/2024
02/12/2024
06/01/2025
24/03/2025
12/05/2025
23/06/2025
28/07/2025
02/09/2025
20/10/2025
03/12/2025
09/01/2026
09/02/2026</v>
          </cell>
          <cell r="W75">
            <v>46090</v>
          </cell>
          <cell r="X75" t="str">
            <v>Monthly</v>
          </cell>
          <cell r="Y75" t="str">
            <v xml:space="preserve">-24 </v>
          </cell>
        </row>
        <row r="76">
          <cell r="A76" t="str">
            <v>4.4.</v>
          </cell>
          <cell r="B76" t="str">
            <v xml:space="preserve">There is adequate funding to deliver the local ambitions of the Integrated Care Partnership Strategy and the national NHSE requirements.    </v>
          </cell>
          <cell r="C76" t="str">
            <v>Lee Outhwaite   
Chief Finance Officer</v>
          </cell>
          <cell r="D76" t="str">
            <v>No delegate</v>
          </cell>
          <cell r="E76" t="str">
            <v>Finance and Investment Committee</v>
          </cell>
          <cell r="F76" t="str">
            <v>Accountable</v>
          </cell>
          <cell r="G76" t="str">
            <v>South Yorkshire Joint Forward Plan</v>
          </cell>
          <cell r="H76" t="str">
            <v>SY042</v>
          </cell>
          <cell r="I76" t="str">
            <v>Board supported by:
 - ICB Place Committees
 - System Leaders Executive
 - Operational Executive</v>
          </cell>
          <cell r="J76" t="str">
            <v xml:space="preserve">1) Operational Executive  and FEG updates                                        
2) Management within each provider and within each place 
3) Oversight from Corporate ICB finance team
</v>
          </cell>
          <cell r="K76" t="str">
            <v>1)We cannot deliver all which is required in 2026/27 based on our financial imbalance in 2025/26.  
2)Our work from Deloittes was also suggestive of the fact that our CIP plans in 24/25 were perhaps higher than our benchmarked financial improvement headroom, and this continues into 25/26, and that position continues into 2026/7.</v>
          </cell>
          <cell r="L76" t="str">
            <v>3 x 4 = 12</v>
          </cell>
          <cell r="M76" t="str">
            <v>Actions to manage risks associated with effective financial delivery</v>
          </cell>
          <cell r="N76" t="str">
            <v xml:space="preserve">None
</v>
          </cell>
          <cell r="O76" t="str">
            <v>We are now trying to fully develop our embeded Turnaround and Financial Recovery processes to deliver as good a financial outturn as possible, whilst dealing with the organisation change progarmme.</v>
          </cell>
          <cell r="P76" t="str">
            <v>5 x 4 = 20</v>
          </cell>
          <cell r="Q76" t="str">
            <v>Low</v>
          </cell>
          <cell r="R76" t="str">
            <v xml:space="preserve">Off plan at M11 (2025/26) and managing significant financial risk. 
ICB now in receipt of third party oversight now from NHSE as part of the NOF3 process.
</v>
          </cell>
          <cell r="S76" t="str">
            <v>To develop further actions through our turnaround process to manage the delivery of the financial plan for 2026/27.</v>
          </cell>
          <cell r="T76" t="str">
            <v>September 2025 - We have now set a plan based on the financial framework for 25/26 and are now trying to manage all the risks we have identified and those that are emerging in-year.  Some of the financial gap has been closed by releasing or forgoing spend in areas that were hypothecated under the previous SDF approach. We have agreed the outline steps required for planning in 25/26 which we are now aligning to the national requirements. 
March 2026 - There is further work to do to de-risk the delivery of the 2026/27 financial plan.</v>
          </cell>
          <cell r="U76" t="str">
            <v>we have an internal audit planned our CIP processes.</v>
          </cell>
          <cell r="V76" t="str">
            <v>02/08/2024
25/10/2024
30/01/2025
13/03/2025
02/05/2025
23/06/2025
30/07/2025
23/09/2025
01/10/2025
31/03/2026</v>
          </cell>
          <cell r="W76">
            <v>46142</v>
          </cell>
          <cell r="X76" t="str">
            <v>Monthly</v>
          </cell>
          <cell r="Y76" t="str">
            <v>Not overdue</v>
          </cell>
        </row>
        <row r="77">
          <cell r="A77">
            <v>4.5999999999999996</v>
          </cell>
          <cell r="B77" t="str">
            <v xml:space="preserve">The ICB is working as part of an integrated care partnership collaborating with the South Yorkshire Mayoral Combined Authority,  and partners in the development of  priorities and delivery plans. </v>
          </cell>
          <cell r="C77" t="str">
            <v xml:space="preserve">Chris Edwards
Chief Executive
</v>
          </cell>
          <cell r="D77" t="str">
            <v xml:space="preserve">Marianna Hargreaves
</v>
          </cell>
          <cell r="E77" t="str">
            <v xml:space="preserve">ICB Board
</v>
          </cell>
          <cell r="F77" t="str">
            <v>Consulted</v>
          </cell>
          <cell r="G77" t="str">
            <v>South Yorkshire Joint Forward Plan / BAF 2023</v>
          </cell>
          <cell r="H77" t="str">
            <v>IL02</v>
          </cell>
          <cell r="I77" t="str">
            <v>1) Minutes of ICP to go to Board for information 
2) Reports to the integrated care partnership and health and care partnerships in every place. 
3) Minutes from the ICP go to each of our HWBs and Place Partnerships</v>
          </cell>
          <cell r="J77" t="str">
            <v xml:space="preserve">Producing strategies and plans through a Governance process/ committees </v>
          </cell>
          <cell r="K77" t="str">
            <v>1) Assurance through Health and Wellbeing Boards, 
2) Department of Health and Social Care
3) NHSE 
4) CQC</v>
          </cell>
          <cell r="L77" t="str">
            <v>2 x 3 = 6</v>
          </cell>
          <cell r="M77" t="str">
            <v>Not all elements of delivery of our ICP Strategy are directly within our control such as those being led by Local Authorities. </v>
          </cell>
          <cell r="N77" t="str">
            <v>No gap in assurance</v>
          </cell>
          <cell r="O77" t="str">
            <v xml:space="preserve">Robust ICB 5-year Joint Forward plan
</v>
          </cell>
          <cell r="P77" t="str">
            <v>2 x 3 = 6</v>
          </cell>
          <cell r="Q77" t="str">
            <v>Medium</v>
          </cell>
          <cell r="R77" t="str">
            <v>Robust Five Year Plan in place and ICP</v>
          </cell>
          <cell r="S77" t="str">
            <v>Robust ICB 5-year Joint Forward plan refresh annually - complete more extensive refresh after publication of the National 10 Year Health Plan                                                   
Focus on delivery including working through delivery plans in each of our places and SY wide.</v>
          </cell>
          <cell r="T77" t="str">
            <v>Limited JFP refresh in line with guidance for the end of March 2025. Prep for a more extensive refresh underway to refresh in light of the national 10 Year Health Plan.</v>
          </cell>
          <cell r="U77" t="str">
            <v xml:space="preserve">
No</v>
          </cell>
          <cell r="V77" t="str">
            <v>22/10/2024
10/02/2025
15/04/2025
13/10/2025
04/11/2025
02/02/2026</v>
          </cell>
          <cell r="W77">
            <v>46236</v>
          </cell>
          <cell r="X77" t="str">
            <v>Six-Monthly</v>
          </cell>
          <cell r="Y77" t="str">
            <v>Not overdue</v>
          </cell>
        </row>
        <row r="78">
          <cell r="A78" t="str">
            <v>4.7.</v>
          </cell>
          <cell r="B78" t="str">
            <v>The Primary Care estate is fit for purpose.  Failure to deliver this will result in poor GP recruitment and retention and an inability to treat patients in more anticipatory and proactive way.</v>
          </cell>
          <cell r="C78" t="str">
            <v>Lee Outhwaite   
Chief Finance Officer</v>
          </cell>
          <cell r="D78" t="str">
            <v>No delegate</v>
          </cell>
          <cell r="E78" t="str">
            <v>System Estates Board</v>
          </cell>
          <cell r="F78" t="str">
            <v>Accountable</v>
          </cell>
          <cell r="G78" t="str">
            <v>South Yorkshire Joint Forward Plan</v>
          </cell>
          <cell r="H78" t="str">
            <v>No link</v>
          </cell>
          <cell r="I78" t="str">
            <v>1) Capital leads – primary and community
2) Places / organisations</v>
          </cell>
          <cell r="J78" t="str">
            <v>The approach to the Primary Care Capital Programme and the Infrastructure Strategy is overseen at the System Estates Board.</v>
          </cell>
          <cell r="K78" t="str">
            <v>1) Finance and Investment Committee receive a biannual update on Primary Care capiral, 
2)  Infrastructure Strategy from NHSE  - awaiting feedback 
3) proposed a Post Porject Evaluation piece of work to DHSC on Pimary Care Capital.</v>
          </cell>
          <cell r="L78" t="str">
            <v>3 x 3 = 9</v>
          </cell>
          <cell r="M78" t="str">
            <v xml:space="preserve">Finalised Infrastructure Strategy following NHSE feedback </v>
          </cell>
          <cell r="N78" t="str">
            <v>Awaiting finalised Infrastructure strategy to determine gaps in assurance</v>
          </cell>
          <cell r="O78" t="str">
            <v>1)Primary care capital and community care
2) Space utilisation and fitness for purpose
3) Sustainability and decarbonising estate</v>
          </cell>
          <cell r="P78" t="str">
            <v>1 x 3 = 3</v>
          </cell>
          <cell r="Q78" t="str">
            <v>High</v>
          </cell>
          <cell r="R78" t="str">
            <v>We will review this assurance level on receipt on the NHSE feedback.</v>
          </cell>
          <cell r="S78" t="str">
            <v>1) Awaiting formulation of further actions folliowing NHSE and DHSC responses by the end of Q2 25/26.
2) Report Infrastructure strategy to the Finance and Investment Committee by Q2 25/26
3) Review the extent to which there is sufficient capital available to address the issues raised in the Infrastructure Strategy once finalised to determine further gaps during Q2 25/26</v>
          </cell>
          <cell r="U78" t="str">
            <v xml:space="preserve">
No</v>
          </cell>
          <cell r="V78" t="str">
            <v>28/10/2024
30/01/2025
30/07/2025
23/09/2025
31/03/2026</v>
          </cell>
          <cell r="W78">
            <v>46477</v>
          </cell>
          <cell r="X78" t="str">
            <v>Annually</v>
          </cell>
          <cell r="Y78" t="str">
            <v>Not overdue</v>
          </cell>
        </row>
        <row r="79">
          <cell r="A79" t="str">
            <v>4.8.</v>
          </cell>
          <cell r="B79" t="str">
            <v>Our collaborative work with partners including rolling out joint work planning tool, delivery of cost improvement plans are embedded.  Failure to meet this may result in a lack of improvement opportunties that require joint working.</v>
          </cell>
          <cell r="C79" t="str">
            <v>Lee Outhwaite   
Chief Finance Officer</v>
          </cell>
          <cell r="D79" t="str">
            <v>No delegate</v>
          </cell>
          <cell r="E79" t="str">
            <v xml:space="preserve">Finance and Investment Committee
</v>
          </cell>
          <cell r="F79" t="str">
            <v>Accountable</v>
          </cell>
          <cell r="G79" t="str">
            <v>South Yorkshire Joint Forward Plan</v>
          </cell>
          <cell r="H79" t="str">
            <v>SY044, SY042, SY107, SY128, SY082, SY106</v>
          </cell>
          <cell r="I79" t="str">
            <v>1) Finance, Capital and Estates Delivery Group                     
2) SY Finance Leads / Teams                                                                                 
3) System Leaders – link to Joint Commitments</v>
          </cell>
          <cell r="J79" t="str">
            <v xml:space="preserve">1) Operational Executive                                                      
2) Management within each provider and within each place 
3) Oversight from Corporate ICB finance team
</v>
          </cell>
          <cell r="K79" t="str">
            <v>We have discussed in Finance, Capital and Estates Delivery Group (FCEDG), and Finance and Investment Committee and through our new Turnaround Structures the extent to which we may need to make a step change in how we monitor our delivery of our improvement and cost improvement work which may require an enhanced response and the roles each of our alliances and collaboratives need to play in that.  We will now need to review this in the context of our changed role and the organisational change process.</v>
          </cell>
          <cell r="L79" t="str">
            <v>3 x 4 = 12</v>
          </cell>
          <cell r="M79" t="str">
            <v>Any gaps in control in this area will be identified through the Internal Audit on CIP.</v>
          </cell>
          <cell r="N79" t="str">
            <v>Given the level of ambition for the improvement and savings plan we will need to be able to report on our own actions and understand the delivery better through the collaboratives and alliances.</v>
          </cell>
          <cell r="O79" t="str">
            <v>1) Review of collaborative procurement arrangements
2) Continue collaborative work as partners, including rolling out joint work planning tool, delivery of cost improvement plans, embed consumables resilience group</v>
          </cell>
          <cell r="P79" t="str">
            <v>5 x 4 = 20</v>
          </cell>
          <cell r="Q79" t="str">
            <v>Medium</v>
          </cell>
          <cell r="R79" t="str">
            <v>ICB now in receipt of third party oversight from NHSE  as part of the NOF3 process.</v>
          </cell>
          <cell r="S79" t="str">
            <v>1) We continue to review the overall approach to the system financial plan with the Finance NEDs from each of the NHS Statutory Organisations, and we will again try to identify if there are gaps in control that are are apparent from an NED perspective, having reviewed this multiple times at both AO and CFO level.</v>
          </cell>
          <cell r="T79" t="str">
            <v>January 2025 - Given the understandable narrower focus on in-year financial balance for the whole of the English NHS in 2024/25 it is hard to give time and attention to this wider agenda.  We still need to do further work on transformation and savings in initiatives that straddle different statutory organisations and structures.
May 2025 - Plans in place to review system financial plan  with the Finance NEDs from each of the NHS Statutory Organisations in May 2025, and will then identify if there are gaps in control that are are apparent from an NED perspective, having reviewed this multiple times at both AO and CFO level.
March 2026 - It is hard to find sufficient managerial capacity to address this risk as we go through the organisational change process.</v>
          </cell>
          <cell r="U79" t="str">
            <v>No</v>
          </cell>
          <cell r="V79" t="str">
            <v>02/08/2024
25/10/2024
30/01/2025
13/03/2025
02/05/2025
23/06/2025
30/07/2025
23/09/2025
31/03/2026</v>
          </cell>
          <cell r="W79">
            <v>46142</v>
          </cell>
          <cell r="X79" t="str">
            <v>Monthly</v>
          </cell>
          <cell r="Y79" t="str">
            <v>Not overdue</v>
          </cell>
        </row>
        <row r="80">
          <cell r="A80" t="str">
            <v>4.9 - B</v>
          </cell>
          <cell r="B80" t="str">
            <v xml:space="preserve">Our work with people and communities is effective failure to meet this may result in a disconect between local plans and the challenges faced by and needs of local communities </v>
          </cell>
          <cell r="C80" t="str">
            <v>Katie Calvin-Thomas
Barnsley Place Director</v>
          </cell>
          <cell r="D80" t="str">
            <v>Jamie Wike</v>
          </cell>
          <cell r="E80" t="str">
            <v xml:space="preserve">Place Committees
</v>
          </cell>
          <cell r="F80" t="str">
            <v>Accountable</v>
          </cell>
          <cell r="G80" t="str">
            <v>South Yorkshire Joint Forward Plan</v>
          </cell>
          <cell r="H80" t="str">
            <v>No link</v>
          </cell>
          <cell r="I80" t="str">
            <v>1) ICB Involvement Team &amp; wider network
2) Places, Provider Collaboratives and Alliances
3) Place Partnership Delivery Group
4) Place Engagamenbt and Involvement Group</v>
          </cell>
          <cell r="J80" t="str">
            <v>1) Place Partnership Board 
2) Place Committee</v>
          </cell>
          <cell r="K80" t="str">
            <v>Health and Wellbeing Board.</v>
          </cell>
          <cell r="L80" t="str">
            <v>3 x 3 = 9</v>
          </cell>
          <cell r="M80" t="str">
            <v>Embedded delivery</v>
          </cell>
          <cell r="N80" t="str">
            <v>No gaps identified</v>
          </cell>
          <cell r="O80" t="str">
            <v>1)Put the voices of people and communities into decision making
2)Embed mechanisms to enable citizen involvement to play a key role in the system focus on tackling health inequalities</v>
          </cell>
          <cell r="P80" t="str">
            <v>2 x 3 = 6</v>
          </cell>
          <cell r="Q80" t="str">
            <v>Medium</v>
          </cell>
          <cell r="R80" t="str">
            <v>Agreed approach linked to work to address HI's and work collaboratively with LA
Barnsley Involvement and Engagement Group is in place supporting work across the place and ICB transformation priorities</v>
          </cell>
          <cell r="S80" t="str">
            <v>Review the work of the Barnsley Involvement and Engagement Group by October 2025 to ensure the agreed approach to involvement and community engagement is embedded across the partnership.</v>
          </cell>
          <cell r="T80" t="str">
            <v>March 2025 - Approach to involvement and engagement agreed at place level
Involvement and Engagement Group working with transformation team to identify areas of input to 2025/26 plans</v>
          </cell>
          <cell r="U80" t="str">
            <v xml:space="preserve">
No</v>
          </cell>
          <cell r="V80" t="str">
            <v>25/09/2024
11/11/2024
10/02/2025
27/03/2025
30/05/2025
04/07/2025
14/08/2025
18/08/2025
18/09/2025
24/10/2025
12/12/2025
12/01/2026  
16/02/2026  
27/03/2026</v>
          </cell>
          <cell r="W80">
            <v>46292</v>
          </cell>
          <cell r="X80" t="str">
            <v>Six-Monthly</v>
          </cell>
          <cell r="Y80" t="str">
            <v>Not overdue</v>
          </cell>
        </row>
        <row r="81">
          <cell r="A81" t="str">
            <v>4.9 - D</v>
          </cell>
          <cell r="B81" t="str">
            <v>Our work with people and communities is effective</v>
          </cell>
          <cell r="C81" t="str">
            <v xml:space="preserve">Anthony Fitzgerald
Doncaster / Rotherham Place Director
</v>
          </cell>
          <cell r="D81" t="str">
            <v>Ailsa Leighton</v>
          </cell>
          <cell r="E81" t="str">
            <v xml:space="preserve">Place Committees
</v>
          </cell>
          <cell r="F81" t="str">
            <v>Accountable</v>
          </cell>
          <cell r="G81" t="str">
            <v>South Yorkshire Joint Forward Plan</v>
          </cell>
          <cell r="H81" t="str">
            <v>No link</v>
          </cell>
          <cell r="I81" t="str">
            <v>1) ICB Involvement Team &amp; wider network
2) Places, Provider Collaboratives and Alliances
3) Governance of the Doncaster Thrive priority</v>
          </cell>
          <cell r="J81" t="str">
            <v>Place Partnership Committee.</v>
          </cell>
          <cell r="K81" t="str">
            <v>Team Doncaster Executive Thrive Board</v>
          </cell>
          <cell r="L81" t="str">
            <v>3 x 3 = 9</v>
          </cell>
          <cell r="M81" t="str">
            <v xml:space="preserve"> - Sufficient funding and workforce</v>
          </cell>
          <cell r="N81" t="str">
            <v xml:space="preserve">No gaps in assurance identified
</v>
          </cell>
          <cell r="O81" t="str">
            <v>1)Put the voices of people and communities into decision making
2)Embed mechanisms to enable citizen involvement to play a key role in the system focus on tackling health inequalities
3)Work with people and communities on the priorities identified in JFP</v>
          </cell>
          <cell r="P81" t="str">
            <v>3 x 3 = 9</v>
          </cell>
          <cell r="Q81" t="str">
            <v>Medium</v>
          </cell>
          <cell r="R81" t="str">
            <v>At a place level the Thrive model has a governance framework that has been recently introduced. In addition the Thrive Learning and Development Network has now formed, and external expert support has been secured - Professor Toby Lowe</v>
          </cell>
          <cell r="S81" t="str">
            <v>Await further guidance regarding financial position following recent government announcement to reduce ICB running costs by 50%, by Q3 25/26</v>
          </cell>
          <cell r="T81" t="str">
            <v xml:space="preserve">July 2025 - In light of the 10 year plan and changing roles of ICBs, the Doncaster partnership is under review - the voice of our communities is represented in those meetings via the Doncaster Great 8 (our approach to securing VCSE support and leadership across the patch) and Healthwatch.
October 25- the Doncaster partnership are midway through a series of meetings to determine the future place approach, with a further meeting due at the end of October. 
February 2026- the Doncaster partnership continue to meet to determine the future place approach, with proposals to be presented at the February meeting </v>
          </cell>
          <cell r="U81" t="str">
            <v xml:space="preserve">
No</v>
          </cell>
          <cell r="V81" t="str">
            <v>30/09/2024
24/11/2024
17/03/2025
28/03/2025
16/07/2025
20/10/2025
02/02/2026</v>
          </cell>
          <cell r="W81">
            <v>46144</v>
          </cell>
          <cell r="X81" t="str">
            <v>Quarterly</v>
          </cell>
          <cell r="Y81" t="str">
            <v>Not overdue</v>
          </cell>
        </row>
        <row r="82">
          <cell r="A82" t="str">
            <v>4.9 - R</v>
          </cell>
          <cell r="B82" t="str">
            <v>Our work with people and communities is effective</v>
          </cell>
          <cell r="C82" t="str">
            <v xml:space="preserve">Anthony Fitzgerald
Doncaster / Rotherham Place Director
</v>
          </cell>
          <cell r="D82" t="str">
            <v xml:space="preserve">Claire Smith
</v>
          </cell>
          <cell r="E82" t="str">
            <v xml:space="preserve">Place Committees
</v>
          </cell>
          <cell r="F82" t="str">
            <v>Accountable</v>
          </cell>
          <cell r="G82" t="str">
            <v>South Yorkshire Joint Forward Plan</v>
          </cell>
          <cell r="H82" t="str">
            <v>No link</v>
          </cell>
          <cell r="I82" t="str">
            <v>1) ICB Involvement Team &amp; wider network
2) Places, Provider Collaboratives and Alliances
3) Rotherham Chief Execs meeting</v>
          </cell>
          <cell r="J82" t="str">
            <v>Rotherham Place ICB board sub committee</v>
          </cell>
          <cell r="K82" t="str">
            <v>Health and Wellbeing Board.</v>
          </cell>
          <cell r="L82" t="str">
            <v>3 x 4 = 12</v>
          </cell>
          <cell r="M82" t="str">
            <v>A robust plan for all transformation/commissioning activity is needed which incorporates engagement with communities</v>
          </cell>
          <cell r="N82" t="str">
            <v>EQIA completion for all activity that requires one</v>
          </cell>
          <cell r="O82" t="str">
            <v>1)Put the voices of people and communities into decision making
2)Embed mechanisms to enable citizen involvement to play a key role in the system focus on tackling health inequalities
3)Work with people and communities on the priorities identified in JFP</v>
          </cell>
          <cell r="P82" t="str">
            <v>2 x 3 = 6</v>
          </cell>
          <cell r="Q82" t="str">
            <v>Medium</v>
          </cell>
          <cell r="R82" t="str">
            <v>Rotherham place plan and Rotherham together partnership plan focusses on social value and the role of anchor organisations.
ICB place team part of Rowntree review on anchors and signed up to social value charter and staff trained
RTP leading on social value and training for key staff in contracting and procurement as well as senior officers</v>
          </cell>
          <cell r="S82" t="str">
            <v>EQIAs to be completed for all commissioning activity and taken to Place Executive for assurance and sign off, this is to be completed as required. Ongoing as required through 2025/6</v>
          </cell>
          <cell r="T82" t="str">
            <v xml:space="preserve">January 2025 - recommendation for this risk to be SY Wide </v>
          </cell>
          <cell r="U82" t="str">
            <v>Audit ICB contribution to social value</v>
          </cell>
          <cell r="V82" t="str">
            <v>07/10/2024
11/11/2024
16/12/2024
06/01/2025
20/01/2025
30/01/2025
03/03/2025
04/04/2025
06/05/2025
10/06/2025
14/07/2025
18/08/2025
21/08/2025
22/09/2025
01/10/2025
03/11/2025
04/11/2025
12/01/2026
16/02/2026</v>
          </cell>
          <cell r="W82">
            <v>46250</v>
          </cell>
          <cell r="X82" t="str">
            <v>Six-Monthly</v>
          </cell>
          <cell r="Y82" t="str">
            <v>Not overdue</v>
          </cell>
        </row>
        <row r="83">
          <cell r="A83" t="str">
            <v>4.9 - S</v>
          </cell>
          <cell r="B83" t="str">
            <v>Our work with people and communities is effective</v>
          </cell>
          <cell r="C83" t="str">
            <v>Emma Latimer  
Sheffield Place Director</v>
          </cell>
          <cell r="D83" t="str">
            <v>Ian Atkinson</v>
          </cell>
          <cell r="E83" t="str">
            <v xml:space="preserve">Place Committees
</v>
          </cell>
          <cell r="F83" t="str">
            <v>Accountable</v>
          </cell>
          <cell r="G83" t="str">
            <v>South Yorkshire Joint Forward Plan</v>
          </cell>
          <cell r="H83" t="str">
            <v>No link</v>
          </cell>
          <cell r="I83" t="str">
            <v>1) ICB Involvement Team &amp; wider network
2) Places, Provider Collaboratives and Alliances</v>
          </cell>
          <cell r="J83" t="str">
            <v>Sheffield Healthcare Partnership Board</v>
          </cell>
          <cell r="K83" t="str">
            <v>Sheffield Health and Wellbeing Board</v>
          </cell>
          <cell r="L83" t="str">
            <v>3 x 4 = 12</v>
          </cell>
          <cell r="M83" t="str">
            <v>Robust plan with the engagement lead to ensure that all planned reviews of services had appropriate engagement with communities. 
Use of EQIA for all appropriate commissioning activity</v>
          </cell>
          <cell r="N83" t="str">
            <v>No gaps in assurance</v>
          </cell>
          <cell r="O83" t="str">
            <v>1)Put the voices of people and communities into decision making
2)Embed mechanisms to enable citizen involvement to play a key role in the system focus on tackling health inequalities
3)Work with people and communities on the priorities identified in JFP</v>
          </cell>
          <cell r="P83" t="str">
            <v>2 x 3 = 6</v>
          </cell>
          <cell r="Q83" t="str">
            <v>Medium</v>
          </cell>
          <cell r="R83" t="str">
            <v>Sheffield HCP Plan</v>
          </cell>
          <cell r="S83" t="str">
            <v xml:space="preserve">Work with people and communities on the priorities identified in JFP </v>
          </cell>
          <cell r="T83" t="str">
            <v>Nothing at this time.</v>
          </cell>
          <cell r="U83" t="str">
            <v>No</v>
          </cell>
          <cell r="V83" t="str">
            <v>25/09/2024
02/12/2024
06/01/2025
24/03/2025
12/05/2025
10/11/2025</v>
          </cell>
          <cell r="W83">
            <v>46152</v>
          </cell>
          <cell r="X83" t="str">
            <v>Six-Monthly</v>
          </cell>
          <cell r="Y83" t="str">
            <v>Not overdue</v>
          </cell>
        </row>
        <row r="84">
          <cell r="A84" t="str">
            <v>4.10 - B</v>
          </cell>
          <cell r="B84" t="str">
            <v>Our work with VCSE is effective failure to meet this may result in the opportunities to improve services through joint working and stronger relationships with the VCSE sector.</v>
          </cell>
          <cell r="C84" t="str">
            <v>Katie Calvin-Thomas
Barnsley Place Director</v>
          </cell>
          <cell r="D84" t="str">
            <v>Jamie Wike</v>
          </cell>
          <cell r="E84" t="str">
            <v>ICB Board</v>
          </cell>
          <cell r="F84" t="str">
            <v>Accountable</v>
          </cell>
          <cell r="G84" t="str">
            <v>South Yorkshire Joint Forward Plan</v>
          </cell>
          <cell r="H84" t="str">
            <v>No link</v>
          </cell>
          <cell r="I84" t="str">
            <v>1) SY VCSE Alliance
2) Place Partnership Delivery Group
3) Barnsley VCSE alliance
4) VCSE Infrasturcture support through Barnsley CVS</v>
          </cell>
          <cell r="J84" t="str">
            <v>1) Place Partnership Board 
2) Place Committee</v>
          </cell>
          <cell r="K84" t="str">
            <v>Health and Wellbeing Board.</v>
          </cell>
          <cell r="L84" t="str">
            <v>4 x 4 = 16</v>
          </cell>
          <cell r="M84" t="str">
            <v>No gaps identified</v>
          </cell>
          <cell r="N84" t="str">
            <v>No gaps in assurance identified</v>
          </cell>
          <cell r="O84" t="str">
            <v>1) Embed VCSE participation
2) Strengthen connections and insights between ICS and VCSE
3) Maximise VCSE investment opportunities</v>
          </cell>
          <cell r="P84" t="str">
            <v>3 x 3 = 9</v>
          </cell>
          <cell r="Q84" t="str">
            <v>Medium</v>
          </cell>
          <cell r="R84" t="str">
            <v>There have been capacity issues in the leadership of BCVS resulting in some challenges working with the sector to develop a strategy and priorities - New CEO and leadership team is now in place.</v>
          </cell>
          <cell r="S84" t="str">
            <v xml:space="preserve">No gaps identified at this time, no action required.  </v>
          </cell>
          <cell r="T84" t="str">
            <v>August 2025 - Barnsley CVS leadership structures have been agreed and posts recruited to.  BCVS representation confirmed across partnership activities.</v>
          </cell>
          <cell r="U84" t="str">
            <v xml:space="preserve">
No</v>
          </cell>
          <cell r="V84" t="str">
            <v>25/09/2024
11/11/2024
10/02/2025
27/03/2025
30/05/2025
04/07/2025
14/08/2025
18/09/2025
24/10/2025
12/12/2025
12/01/2026  
16/02/2026  
27/03/2026</v>
          </cell>
          <cell r="W84">
            <v>46200</v>
          </cell>
          <cell r="X84" t="str">
            <v>Quarterly</v>
          </cell>
          <cell r="Y84" t="str">
            <v>Not overdue</v>
          </cell>
        </row>
        <row r="85">
          <cell r="A85" t="str">
            <v xml:space="preserve">4.10 - D
</v>
          </cell>
          <cell r="B85" t="str">
            <v>Our work with VCSE is effective</v>
          </cell>
          <cell r="C85" t="str">
            <v xml:space="preserve">Anthony Fitzgerald
Doncaster / Rotherham Place Director
</v>
          </cell>
          <cell r="D85" t="str">
            <v>Ailsa Leighton</v>
          </cell>
          <cell r="E85" t="str">
            <v>ICB Board</v>
          </cell>
          <cell r="F85" t="str">
            <v>Accountable</v>
          </cell>
          <cell r="G85" t="str">
            <v>South Yorkshire Joint Forward Plan</v>
          </cell>
          <cell r="H85" t="str">
            <v>No link</v>
          </cell>
          <cell r="I85" t="str">
            <v>1) VCSE Alliance
2) ICB Place Committees</v>
          </cell>
          <cell r="J85" t="str">
            <v>Health &amp; Wellbeing Board</v>
          </cell>
          <cell r="K85" t="str">
            <v>Team Doncaster Executive</v>
          </cell>
          <cell r="L85" t="str">
            <v>3 x 3 = 9</v>
          </cell>
          <cell r="M85" t="str">
            <v xml:space="preserve">Time limited funding for VCSE infrastructures within Doncaster Place
</v>
          </cell>
          <cell r="N85" t="str">
            <v>Clarification that the current approach to VCSE infrastructure is most suitable approach</v>
          </cell>
          <cell r="O85" t="str">
            <v>1) Embed VCSE participation
2) Strengthen connections and insights between ICS and VCSE
3) Maximise VCSE investment opportunities</v>
          </cell>
          <cell r="P85" t="str">
            <v>2 x 3 = 6</v>
          </cell>
          <cell r="Q85" t="str">
            <v>Medium</v>
          </cell>
          <cell r="R85" t="str">
            <v>There is a strong commitment in Doncaster to working with the VCSE and the sector are represented at the Team Doncaster Executive.  
Recent work with the VCSE has identified an approach to supporting VCSE development in Doncaster, through the appointment of 8 representatives from within the VCSE sector, linked to the Doncaster Great 8</v>
          </cell>
          <cell r="S85" t="str">
            <v>City of Doncaster Council are undertaking a review on VSCE infrastructures, expected to be complete by the end of Q4 25/26.</v>
          </cell>
          <cell r="T85" t="str">
            <v>September 2025 - Work underway supporting Doncaster Council, to respond to the asks from the local VCSE regarding infrastructure support 
March 2026 - VCSE sector continue to be strongly represented within the developing Doncaster partnership forum, ensuring that there is a broader voice to the discussion.  The Great 8 also continue to drive VCSE involvement and delivery across Doncaster.</v>
          </cell>
          <cell r="U85" t="str">
            <v xml:space="preserve">
No</v>
          </cell>
          <cell r="V85" t="str">
            <v>30/09/2024
24/11/2024
28/03/2025
25/09/2025
01/04/2026</v>
          </cell>
          <cell r="W85">
            <v>46296</v>
          </cell>
          <cell r="X85" t="str">
            <v>Six-Monthly</v>
          </cell>
          <cell r="Y85" t="str">
            <v>Not overdue</v>
          </cell>
        </row>
        <row r="86">
          <cell r="A86" t="str">
            <v>4.10 - R</v>
          </cell>
          <cell r="B86" t="str">
            <v>Our work with VCSE is effective</v>
          </cell>
          <cell r="C86" t="str">
            <v xml:space="preserve">Anthony Fitzgerald
Doncaster / Rotherham Place Director
</v>
          </cell>
          <cell r="D86" t="str">
            <v xml:space="preserve">Claire Smith
</v>
          </cell>
          <cell r="E86" t="str">
            <v>ICB Board</v>
          </cell>
          <cell r="F86" t="str">
            <v>Accountable</v>
          </cell>
          <cell r="G86" t="str">
            <v>South Yorkshire Joint Forward Plan</v>
          </cell>
          <cell r="H86" t="str">
            <v>No link</v>
          </cell>
          <cell r="I86" t="str">
            <v>1)VCSE Alliance
2)ICB Place Committees
3)VCS represented on all major projects/priority workstreams across Place 
4)Locally agreed action plan for delivering social value</v>
          </cell>
          <cell r="J86" t="str">
            <v>Rotherham Place ICB board sub committee</v>
          </cell>
          <cell r="K86" t="str">
            <v>Health and Wellbeing Board.</v>
          </cell>
          <cell r="L86" t="str">
            <v>3 x 3 = 9</v>
          </cell>
          <cell r="M86" t="str">
            <v>prevention and early intervention support from commissioned VCS services</v>
          </cell>
          <cell r="N86" t="str">
            <v>VCS engagement in Place Board</v>
          </cell>
          <cell r="O86" t="str">
            <v>1) Embed VCSE participation
2) Strengthen connections and insights between ICS and VCSE
3) Maximise VCSE investment opportunities</v>
          </cell>
          <cell r="P86" t="str">
            <v>2 x 2 = 4</v>
          </cell>
          <cell r="Q86" t="str">
            <v>High</v>
          </cell>
          <cell r="R86" t="str">
            <v xml:space="preserve">VCSE is strong in Rotherham and a key partner. Rotherham VCSE lead sits on ICB board and Rotherham sub committee. Rotherham place plan has a strong focus on VCSE. Strong representation in the national neighbourhood pilot from VCSE. </v>
          </cell>
          <cell r="S86" t="str">
            <v xml:space="preserve">Continue current arrangements of monthly Place Board which inlcudes VAR represetative (monthly) and continue to work with VAR to maximise VCSE role in Rotherham routinely through performance and other partnership meetings (held as required) through 25 26. </v>
          </cell>
          <cell r="U86" t="str">
            <v>Audit arrangements for VCSE commissioning in 2025/6</v>
          </cell>
          <cell r="V86" t="str">
            <v>07/10/2024
11/11/2024
16/12/2024
06/01/2025
20/01/2025
30/01/2025
03/03/2025
04/04/2025
06/05/2025
10/06/2025
14/07/2025
18/08/2025
21/08/2025
22/09/2025
01/10/2025
03/11/2025
04/11/2025
12/01/2026
16/02/2026</v>
          </cell>
          <cell r="W86">
            <v>46250</v>
          </cell>
          <cell r="X86" t="str">
            <v>Six-Monthly</v>
          </cell>
          <cell r="Y86" t="str">
            <v>Not overdue</v>
          </cell>
        </row>
        <row r="87">
          <cell r="A87" t="str">
            <v>4.10 - S</v>
          </cell>
          <cell r="B87" t="str">
            <v>Our work with VCSE is effective</v>
          </cell>
          <cell r="C87" t="str">
            <v>Emma Latimer  
Sheffield Place Director</v>
          </cell>
          <cell r="D87" t="str">
            <v>Ian Atkinson</v>
          </cell>
          <cell r="E87" t="str">
            <v>ICB Board</v>
          </cell>
          <cell r="F87" t="str">
            <v>Accountable</v>
          </cell>
          <cell r="G87" t="str">
            <v>South Yorkshire Joint Forward Plan</v>
          </cell>
          <cell r="H87" t="str">
            <v>No link</v>
          </cell>
          <cell r="I87" t="str">
            <v>1) The Sheffield Place Team - operate a principle of using the Vol Sector as an equal partner in the city, they attend all key Place Committees and meetings supporting the delivery of HCP priority areas 
2) VCSE Alliance
3) ICB Place Committees</v>
          </cell>
          <cell r="J87" t="str">
            <v>Sheffield Healthcare Partnership Board</v>
          </cell>
          <cell r="K87" t="str">
            <v>Sheffield Health and Wellbeing Board</v>
          </cell>
          <cell r="L87" t="str">
            <v>3 x 3 = 9</v>
          </cell>
          <cell r="M87" t="str">
            <v xml:space="preserve">continued push to commissioning services within the VCS where appropriate to support prevention and early intervention  </v>
          </cell>
          <cell r="N87" t="str">
            <v>No gaps in assurance</v>
          </cell>
          <cell r="O87" t="str">
            <v>1) Embed VCSE participation
2) Strengthen connections and insights between ICS and VCSE
3) Maximise VCSE investment opportunities</v>
          </cell>
          <cell r="P87" t="str">
            <v>2 x 2 = 4</v>
          </cell>
          <cell r="Q87" t="str">
            <v>High</v>
          </cell>
          <cell r="R87" t="str">
            <v>VCSE is strong in Sheffield and a key partner.  Sheffield place plan has a strong focus on VCSE</v>
          </cell>
          <cell r="S87" t="str">
            <v>Continue current arrangements and continue to work with VAR to maximise VCSE role in Sheffield</v>
          </cell>
          <cell r="T87" t="str">
            <v>Nothing at this time.</v>
          </cell>
          <cell r="U87" t="str">
            <v>No</v>
          </cell>
          <cell r="V87" t="str">
            <v>25/09/2024
02/12/2024
06/01/2025
24/03/2025
12/05/2025
10/11/2025</v>
          </cell>
          <cell r="W87">
            <v>46152</v>
          </cell>
          <cell r="X87" t="str">
            <v>Six-Monthly</v>
          </cell>
          <cell r="Y87" t="str">
            <v>Not overdue</v>
          </cell>
        </row>
        <row r="88">
          <cell r="A88" t="str">
            <v>4.11 - B</v>
          </cell>
          <cell r="B88" t="str">
            <v>Our work with local authority is effective failure to meet this may result in misaligned priorities across health and care leading to unintended implications arising from any service/commissioning changes</v>
          </cell>
          <cell r="C88" t="str">
            <v>Katie Calvin-Thomas
Barnsley Place Director</v>
          </cell>
          <cell r="D88" t="str">
            <v>Jamie Wike</v>
          </cell>
          <cell r="E88" t="str">
            <v>ICB Place Committees</v>
          </cell>
          <cell r="F88" t="str">
            <v>Accountable</v>
          </cell>
          <cell r="G88" t="str">
            <v>South Yorkshire Joint Forward Plan</v>
          </cell>
          <cell r="H88" t="str">
            <v>SY107, SY124, SY021</v>
          </cell>
          <cell r="I88" t="str">
            <v xml:space="preserve">1) Place Director - Health and Care (ICB &amp; LA)
2) Place Partnership Delivery Board
3) Place SMT (Health &amp; Care)
4) Joint Commissing Group and framework
5) Barnsley 2030 Board
6) Stronger Communities Partnership
7) Safeguarding Adults and Children
8) SEND Local Area Partnership
</v>
          </cell>
          <cell r="J88" t="str">
            <v>1) Place Partnership Board and Place Committee
2) Health and Welbeing Board</v>
          </cell>
          <cell r="K88" t="str">
            <v>Overview and Scrutiny Committee</v>
          </cell>
          <cell r="L88" t="str">
            <v>2 x 3 = 6</v>
          </cell>
          <cell r="M88" t="str">
            <v>No gaps identified</v>
          </cell>
          <cell r="N88" t="str">
            <v xml:space="preserve">No gaps identified, </v>
          </cell>
          <cell r="O88" t="str">
            <v>Support and strengthen our partnership arrangements in our places and our SY Integrated Care Partnership</v>
          </cell>
          <cell r="P88" t="str">
            <v>2 x 3 = 6</v>
          </cell>
          <cell r="Q88" t="str">
            <v>High</v>
          </cell>
          <cell r="R88" t="str">
            <v>Strong partnership arrangements in place. Shared Executive Director across ICB and LA, Joint Commissioning Group in place.</v>
          </cell>
          <cell r="S88" t="str">
            <v>No gaps identified, therefore no action required at this time</v>
          </cell>
          <cell r="T88" t="str">
            <v>March 2025 - "Joint Commissioning Group re-established with membership across Health, Social Care, Public Health and Communities (ICB and LA)
JC working group developing plan and agreeing areas of opportunity to join uyp commissioning arrangements"</v>
          </cell>
          <cell r="U88" t="str">
            <v xml:space="preserve">
No</v>
          </cell>
          <cell r="V88" t="str">
            <v>21/10/2024
11/11/2024
10/02/2025
27/03/2025
30/05/2025
04/07/2025
18/09/2025
24/10/2025
12/12/2025
12/01/2026  
16/02/2026  
27/03/2026</v>
          </cell>
          <cell r="W88">
            <v>46292</v>
          </cell>
          <cell r="X88" t="str">
            <v>Six-Monthly</v>
          </cell>
          <cell r="Y88" t="str">
            <v>Not overdue</v>
          </cell>
        </row>
        <row r="89">
          <cell r="A89" t="str">
            <v>4.11 - D</v>
          </cell>
          <cell r="B89" t="str">
            <v>Our work with local authority is effective</v>
          </cell>
          <cell r="C89" t="str">
            <v xml:space="preserve">Anthony Fitzgerald
Doncaster / Rotherham Place Director
</v>
          </cell>
          <cell r="D89" t="str">
            <v>Ailsa Leighton</v>
          </cell>
          <cell r="E89" t="str">
            <v>ICB Place Committees</v>
          </cell>
          <cell r="F89" t="str">
            <v>Accountable</v>
          </cell>
          <cell r="G89" t="str">
            <v>South Yorkshire Joint Forward Plan</v>
          </cell>
          <cell r="H89" t="str">
            <v>SY107, SY124, SY021</v>
          </cell>
          <cell r="I89" t="str">
            <v xml:space="preserve">1) Doncaster Place Committee
2) Place based Joint Commissioning Operational Group </v>
          </cell>
          <cell r="J89" t="str">
            <v>1) Health &amp; Wellbeing Board 
2) Jointly agreed life stage delivery plans for 25/26</v>
          </cell>
          <cell r="K89" t="str">
            <v xml:space="preserve">local scrutiny committee </v>
          </cell>
          <cell r="L89" t="str">
            <v>4 x 3 = 12</v>
          </cell>
          <cell r="M89" t="str">
            <v>No gaps in control identifed</v>
          </cell>
          <cell r="N89" t="str">
            <v>Defined Joint Commissioning Operation Group reporting and escalation processes</v>
          </cell>
          <cell r="O89" t="str">
            <v>Support and strengthen our partnership arrangements in our places and our SY Integrated Care Partnership</v>
          </cell>
          <cell r="P89" t="str">
            <v>3 x 3 = 9</v>
          </cell>
          <cell r="Q89" t="str">
            <v>Medium</v>
          </cell>
          <cell r="R89" t="str">
            <v>Across place there are a range of formal joint working forums, such as the Doncaster Place Committee and Joint Commissioning Operational Group, these sit alongside informal arrangements such as a weekly senior manager meeting and 1:1 meetings with Local Authority counterparts.</v>
          </cell>
          <cell r="S89" t="str">
            <v xml:space="preserve">Undertake review of the reporting responsibilities of the  Joint Commissioning Operational Group (JCOG), by end of Q4 25/26 </v>
          </cell>
          <cell r="T89" t="str">
            <v xml:space="preserve">January 2026- the CQC review highlighted the good working relationship between the ICB and Local Authority in Doncaster, with a number of positive examples being cited.  Regular meetings continue between senior leaders and more broadly across teams from the LA and ICB, with the Health and Wellbeing Board playing a central role. </v>
          </cell>
          <cell r="U89" t="str">
            <v xml:space="preserve">
No</v>
          </cell>
          <cell r="V89" t="str">
            <v>14/10/2024
24/11/2024
17/03/2025
28/03/2025
16/07/2025
14/08/2025
25/09/2025
05/01/2026</v>
          </cell>
          <cell r="W89">
            <v>46117</v>
          </cell>
          <cell r="X89" t="str">
            <v>Quarterly</v>
          </cell>
          <cell r="Y89" t="str">
            <v>Not overdue</v>
          </cell>
        </row>
        <row r="90">
          <cell r="A90" t="str">
            <v>4.11 - R</v>
          </cell>
          <cell r="B90" t="str">
            <v>Our work with local authority is effective</v>
          </cell>
          <cell r="C90" t="str">
            <v xml:space="preserve">Anthony Fitzgerald
Doncaster / Rotherham Place Director
</v>
          </cell>
          <cell r="D90" t="str">
            <v xml:space="preserve">Claire Smith
</v>
          </cell>
          <cell r="E90" t="str">
            <v>ICB Place Committees</v>
          </cell>
          <cell r="F90" t="str">
            <v>Accountable</v>
          </cell>
          <cell r="G90" t="str">
            <v>South Yorkshire Joint Forward Plan</v>
          </cell>
          <cell r="H90" t="str">
            <v>SY107, SY124, SY021</v>
          </cell>
          <cell r="I90" t="str">
            <v>1) Rotherham PLACE partnership is co- chaired by ICB RMBC. 
2) Plans are signed off by both organisations. HWBB  strategy signed off by both organisations. 
3) Senior joint posts across key work areas. Health attend Rotherham Partnership Board chaired by RMBC Chief Exec and attend Health Scrutiny routinely. 
4) ICB key member of Rotherham Together Partnership which is leading the way on maximising social vlaue</v>
          </cell>
          <cell r="J90" t="str">
            <v>Rotherham Place ICB board sub committee</v>
          </cell>
          <cell r="K90" t="str">
            <v>Health and Well Being Board</v>
          </cell>
          <cell r="L90" t="str">
            <v>2 x 3 = 6</v>
          </cell>
          <cell r="M90" t="str">
            <v>No gap identifed</v>
          </cell>
          <cell r="N90" t="str">
            <v>No gap identifed</v>
          </cell>
          <cell r="O90" t="str">
            <v>Support and strengthen our partnership arrangements in our places and our SY Integrated Care Partnership</v>
          </cell>
          <cell r="P90" t="str">
            <v>2 x 2 = 4</v>
          </cell>
          <cell r="Q90" t="str">
            <v>High</v>
          </cell>
          <cell r="R90" t="str">
            <v xml:space="preserve">Rotherham partnership works closely on social value. All partners signed up to the social value charter and key staff have had social value training. there are social value champions identified in our team and RMBC are leading on task and finish group to implement best practice </v>
          </cell>
          <cell r="S90" t="str">
            <v>No gaps identified, no action required</v>
          </cell>
          <cell r="T90" t="str">
            <v>April 2025 - Continue frequent meetings as a joint senior management group with Council colleagues regarding commissioning decisions
Review how they work and review attendance - aim to support transparency over workstreams and key priorities/risks within our organisations to manage and mitigate impact across H&amp;SC on decisions.  Meetings working well and continue to use as a platform to discuss partnership working particularly in difficult decision across organisations to prevent unintended impact. Review to be completed by end of Q2 25/26</v>
          </cell>
          <cell r="U90" t="str">
            <v xml:space="preserve">Audit BCF arrangements - internal audit completed as part of preparation for 25/26. understanding of budget lines and services within s75, agreement of prioirty of spend in IBCF </v>
          </cell>
          <cell r="V90" t="str">
            <v>07/10/2024
11/11/2024
16/12/2024
06/01/2025
20/01/2025
30/01/2025
03/03/2025
04/04/2025
06/05/2025
10/06/2025
14/07/2025
18/08/2025
21/08/2025
22/09/2025
01/10/2025
03/11/2025
04/11/2025
12/01/2026</v>
          </cell>
          <cell r="W90">
            <v>46215</v>
          </cell>
          <cell r="X90" t="str">
            <v>Six-Monthly</v>
          </cell>
          <cell r="Y90" t="str">
            <v>Not overdue</v>
          </cell>
        </row>
        <row r="91">
          <cell r="A91" t="str">
            <v>4.11 - S</v>
          </cell>
          <cell r="B91" t="str">
            <v>Our work with local authority is effective</v>
          </cell>
          <cell r="C91" t="str">
            <v>Emma Latimer  
Sheffield Place Director</v>
          </cell>
          <cell r="D91" t="str">
            <v>Ian Atkinson</v>
          </cell>
          <cell r="E91" t="str">
            <v>ICB Place Committees</v>
          </cell>
          <cell r="F91" t="str">
            <v>Accountable</v>
          </cell>
          <cell r="G91" t="str">
            <v>South Yorkshire Joint Forward Plan</v>
          </cell>
          <cell r="H91" t="str">
            <v>SY107, SY124, SY021</v>
          </cell>
          <cell r="I91" t="str">
            <v xml:space="preserve">1) SCC are an equal partner on our HCP board.
2) SCC and ICB Sheffield Place team hold a monthly joint executive meeting to discuss joint work and associated delivery, we also have a joint efficiencies group that is co-chaired look at all areas of joint commissioning across the two organisations </v>
          </cell>
          <cell r="J91" t="str">
            <v>Sheffield Healthcare Partnership Board</v>
          </cell>
          <cell r="K91" t="str">
            <v>Sheffield Health and Wellbeing Board</v>
          </cell>
          <cell r="L91" t="str">
            <v>2 x 3 = 6</v>
          </cell>
          <cell r="M91" t="str">
            <v>Continue current arrangements and work to the social value charter</v>
          </cell>
          <cell r="N91" t="str">
            <v>No gap in assurance</v>
          </cell>
          <cell r="O91" t="str">
            <v>Support and strengthen our partnership arrangements in our places and our SY Integrated Care Partnership</v>
          </cell>
          <cell r="P91" t="str">
            <v>2 x 2 = 4</v>
          </cell>
          <cell r="Q91" t="str">
            <v>High</v>
          </cell>
          <cell r="R91" t="str">
            <v>Sheffield partnership works closely on social value. All partners signed up to the social value charter and key staff have had social value training</v>
          </cell>
          <cell r="S91" t="str">
            <v>None at this time - there are gaps identified in column M / N, which require actions</v>
          </cell>
          <cell r="T91" t="str">
            <v>Nothing at this time.</v>
          </cell>
          <cell r="U91" t="str">
            <v>No</v>
          </cell>
          <cell r="V91" t="str">
            <v>25/09/2024
02/12/2024
06/01/2025
24/03/2025
12/05/2025
28/07/2025
21/08/2025</v>
          </cell>
          <cell r="W91">
            <v>46074</v>
          </cell>
          <cell r="X91" t="str">
            <v>Six-Monthly</v>
          </cell>
          <cell r="Y91" t="str">
            <v xml:space="preserve">-40 </v>
          </cell>
        </row>
        <row r="92">
          <cell r="A92" t="str">
            <v>4.12.</v>
          </cell>
          <cell r="B92" t="str">
            <v>We are maximising our role as an anchor institution through the development of an understanding of our role as an anchor (eg developing of SY anchor approach)</v>
          </cell>
          <cell r="C92" t="str">
            <v xml:space="preserve">Chris Edwards
Chief Executive
</v>
          </cell>
          <cell r="D92" t="str">
            <v>Marianna Hargreaves 
Ruth Speare</v>
          </cell>
          <cell r="E92" t="str">
            <v>ICB Board</v>
          </cell>
          <cell r="F92" t="str">
            <v>Responsible</v>
          </cell>
          <cell r="G92" t="str">
            <v>South Yorkshire Joint Forward Plan</v>
          </cell>
          <cell r="H92" t="str">
            <v>No link</v>
          </cell>
          <cell r="I92" t="str">
            <v>1) Work in place to progress on a range of fronts, including work and health focus and aligning partners to contribute to our bold ambition to develop an inclusive and sustainable economy. 
2) The SY Sustainability and Green Plan is in place. Collaborative Procurement arrangements in place (including advocating local procurement and social value).</v>
          </cell>
          <cell r="J92" t="str">
            <v>1) Developing collaborative work with partners to contribute to the delivery of our bold ambition to develop an inclusive and sustainable enconomy. 
2) ICB processes and policies to continue to develop to enable this including HR processess and approach to impact assessment. 
3) Assuance through relevant ICB Committees.</v>
          </cell>
          <cell r="K92" t="str">
            <v>1) Assurance through Health and Wellbeing Boards, 
2) Department of Health and Social Care
3) NHSE 
4) CQC</v>
          </cell>
          <cell r="L92" t="str">
            <v>2 x 3 = 6</v>
          </cell>
          <cell r="M92" t="str">
            <v xml:space="preserve">Organisations, places, provider collaboratives and alliances all have work underway that demonstrate their contribution as anchor institutes, eg local employment approaches for local organisations and procurement across provider collaboratives. There is a potential gap in our understanding of this and how we can further maximise it. 
</v>
          </cell>
          <cell r="N92" t="str">
            <v>No gap in assurance</v>
          </cell>
          <cell r="O92" t="str">
            <v>Development of an approach that enables a collaborative approach, an Anchor Network and understanding of what we mean by 'anchor' (eg anchor charter).</v>
          </cell>
          <cell r="P92" t="str">
            <v>2 x 3 = 6</v>
          </cell>
          <cell r="Q92" t="str">
            <v>Medium</v>
          </cell>
          <cell r="R92" t="str">
            <v xml:space="preserve">Work is underway in this space as described. It is connected into our work focusing on sustainability and with SYMCA and partners.
</v>
          </cell>
          <cell r="S92" t="str">
            <v xml:space="preserve">Continue to progress collaborative work in this space to understand the anchor landscape, what is already happening and how to strengthen via developing a networked approach into 2025/26.  </v>
          </cell>
          <cell r="T92" t="str">
            <v>Baseline mapping work underway, including building connectivity with other ICB led, place led and SYMCA led interconnected workstreams in this space</v>
          </cell>
          <cell r="U92" t="str">
            <v xml:space="preserve">
No</v>
          </cell>
          <cell r="V92" t="str">
            <v>22/10/2024
10/02/2025
15/04/2025
21/08/2025
13/10/2025
04/11/2025
02/02/2026</v>
          </cell>
          <cell r="W92">
            <v>46236</v>
          </cell>
          <cell r="X92" t="str">
            <v>Six-Monthly</v>
          </cell>
          <cell r="Y92" t="str">
            <v>Not overdue</v>
          </cell>
        </row>
        <row r="93">
          <cell r="A93" t="str">
            <v>4.13.1</v>
          </cell>
          <cell r="B93" t="str">
            <v>The Environmental sustainability and net zero actions of the ICB are effective  failure to meet the ICBs Statutory Duties to comply with legislation on Climate control</v>
          </cell>
          <cell r="C93" t="str">
            <v>Dr David Crichton 
Chief Medical Officer</v>
          </cell>
          <cell r="D93" t="str">
            <v xml:space="preserve">Lisa Kell  </v>
          </cell>
          <cell r="E93" t="str">
            <v>ICB Board</v>
          </cell>
          <cell r="F93" t="str">
            <v>Accountable</v>
          </cell>
          <cell r="G93" t="str">
            <v>South Yorkshire Joint Forward Plan</v>
          </cell>
          <cell r="H93" t="str">
            <v>No link</v>
          </cell>
          <cell r="I93" t="str">
            <v xml:space="preserve">1) SY ICB Sustainability plan to deliver SY plan priorities 
2) SY ICB Sustainability network  ICB and providers     
3) SY ICB Estates Strategy  
4) SY ICB Procurement Strategy     
5) Equality quality sustainability health inequalites Impact assessment panel                                                                     
6) Places and organisations sustainability delivery plans 
</v>
          </cell>
          <cell r="J93" t="str">
            <v xml:space="preserve">SY ICB Organisations sustainability reporting </v>
          </cell>
          <cell r="K93" t="str">
            <v xml:space="preserve">1) 2025\26 NHSE Greener NHS guidance and priorities icb refreshing Sustainability plan for 2025/26 by end of July 2025 (update required) ,   
2) updated ICB plan will include the reporting of some sustainability priorities for the ICB -intention to include in the IPR (where possible depending on available and credible sustainability data) </v>
          </cell>
          <cell r="L93" t="str">
            <v>2 x 2 = 4</v>
          </cell>
          <cell r="M93" t="str">
            <v xml:space="preserve">limited capacity / resource for programme 
limited investment for Net Zero / Greener NHS priorities </v>
          </cell>
          <cell r="N93" t="str">
            <v xml:space="preserve">Working with SY partners/ providers to develop refreshed plan and joint priorities - need to ensure we have their commitment to SY wide Net Zero priorities 
</v>
          </cell>
          <cell r="O93" t="str">
            <v xml:space="preserve">1) Refreshing SY ICB sustainability priorities / plan 
2) strengthening reporting processes and governance. 
3) Identifying resources to support the delivery plan priorities, engaging with SY ICP stakeholders on joint Net Zero priorities and what can be delivered across SY with the capacity /support available     </v>
          </cell>
          <cell r="P93" t="str">
            <v>2 x 2 = 4</v>
          </cell>
          <cell r="Q93" t="str">
            <v>Medium</v>
          </cell>
          <cell r="R93" t="str">
            <v xml:space="preserve">Refining SY ICB sustainability priorities via the plan refresh and strengthening reporting processes and governance. Identifying resources to support delivery of plan priorities
</v>
          </cell>
          <cell r="S93" t="str">
            <v>25/26 refreshed plan underway working with partners across SY to agree SY priorities that support national requirements set out in NHSE Greener NHS. Plan will be approved at 2nd July 2025  ICB Board in public 
ICB Board update scheduled for March 26 .</v>
          </cell>
          <cell r="T93" t="str">
            <v xml:space="preserve">Plan developing , meeting partners every month to ensure it’s a jointly produced set of priorities that enables SY to deliver the national requirements for Net Zero and Greener NHS 
</v>
          </cell>
          <cell r="U93" t="str">
            <v xml:space="preserve">
No</v>
          </cell>
          <cell r="V93" t="str">
            <v>18/10/2024
07/02/2025
10/02/2025
27/03/2025
21/08/2025
29/12/2025</v>
          </cell>
          <cell r="W93">
            <v>46202</v>
          </cell>
          <cell r="X93" t="str">
            <v>Six-Monthly</v>
          </cell>
          <cell r="Y93" t="str">
            <v>Not overdue</v>
          </cell>
        </row>
      </sheetData>
      <sheetData sheetId="2" refreshError="1"/>
      <sheetData sheetId="3">
        <row r="3">
          <cell r="A3" t="str">
            <v>SY028</v>
          </cell>
          <cell r="B3" t="str">
            <v>ICB</v>
          </cell>
          <cell r="C3" t="str">
            <v>Cancer</v>
          </cell>
          <cell r="D3" t="str">
            <v>1,2,5,6</v>
          </cell>
          <cell r="E3" t="str">
            <v>BAF 1.4.1, BAF 1.4.2, BAF 2.6, BAF 2.14, BAF 2.15, BAF 2.16</v>
          </cell>
          <cell r="F3" t="str">
            <v xml:space="preserve">Oncology Workforce Challenges – in recent months we have become aware of a growing pressure on the oncology workforce, which is replicated nationally, related to the number of Oncologists across services locally. A temporary breast oncology service, head and neck service and lower Gastrointestinal (GI) service have been implemented locally to mitigate patient safety risks.  Given the temporary nature of this solution further work will be required to identify the longer-term solution which is being led by the Cancer Alliance.   </v>
          </cell>
          <cell r="G3">
            <v>3</v>
          </cell>
          <cell r="H3">
            <v>4</v>
          </cell>
          <cell r="I3">
            <v>12</v>
          </cell>
          <cell r="J3" t="str">
            <v>Accountable</v>
          </cell>
          <cell r="K3" t="str">
            <v xml:space="preserve">1) National mitigation for recruitment on oncology workforce required. 
2) Mutual aid requested through regional team with Incident Management Team (IMT) established. 
3) Successful recruitment round has increased overall capacity with at risk tumour pathways being prioritised. A further paper is being drafted to provide assurance to QPIE regarding the longer term position on workforce risks, to be presented in December 2025
</v>
          </cell>
          <cell r="L3" t="str">
            <v>Emma Latimer 
Sheffield Place Director / ICB SRO Cancer /  SRO for End of Life and Palliative Care</v>
          </cell>
          <cell r="M3" t="str">
            <v xml:space="preserve">CCG Due Diligence Assurance Letters </v>
          </cell>
          <cell r="N3">
            <v>4</v>
          </cell>
          <cell r="O3">
            <v>4</v>
          </cell>
          <cell r="P3">
            <v>16</v>
          </cell>
          <cell r="Q3" t="str">
            <v>05/12/2022                                              19/04/2023                 16/05/2023                                                       15/06/2023                    06/07/2023          01/08/2023                 16/08/2023               12/09/2023             31/10/2023
05/12/2023
16/01/2024
21/02/2024
20/05/2024
02/07/2024
05/08/2024
01/10/2024
13/11/2024
30/12/2024
13/01/2025
25/03/2025
12/05/2025
17/06/2025
22/07/2025
18/08/2025
22/09/2025
03/11/2025
22/12/2025
26/01/2026
02/03/2026</v>
          </cell>
          <cell r="R3">
            <v>46114</v>
          </cell>
          <cell r="S3" t="str">
            <v>Not overdue</v>
          </cell>
          <cell r="T3" t="str">
            <v>Julia Jessop, Cancer Alliance Managing Director</v>
          </cell>
          <cell r="U3" t="str">
            <v xml:space="preserve">September 2025 - A further update will be provided to QPPIE in Dec 2025. The Non-Surgical Oncology (NSO) insourcing model for breast services with Remedy to secure additional capacity, established by STH has now ceased as substantive appointments increased. 
October 2025 - Successful recruitment rounds means that the risk will be reviewed for closure once new appointees are in post. 
December 2025. Latest position presented to QPIE. 
Jan 2026. Waiting times continue to be monitored with close links to quality colleagues. 
March 2026 -  Further report to JHOSC planned for March. </v>
          </cell>
          <cell r="V3" t="str">
            <v>Monthly</v>
          </cell>
          <cell r="W3" t="str">
            <v>Quality Performance Patient Involvement Experience (QPPIE)</v>
          </cell>
          <cell r="X3" t="str">
            <v>UNDER REVIEW 21.01.25</v>
          </cell>
          <cell r="Y3">
            <v>44900</v>
          </cell>
          <cell r="Z3">
            <v>44896</v>
          </cell>
          <cell r="AA3">
            <v>869</v>
          </cell>
          <cell r="AB3" t="str">
            <v>Work still ongoing</v>
          </cell>
        </row>
        <row r="4">
          <cell r="A4" t="str">
            <v xml:space="preserve">SY042 - B
</v>
          </cell>
          <cell r="B4" t="str">
            <v>All Places</v>
          </cell>
          <cell r="C4" t="str">
            <v>Finance inc Fraud</v>
          </cell>
          <cell r="D4" t="str">
            <v>6, 7</v>
          </cell>
          <cell r="E4" t="str">
            <v>BAF 1.1.1 BAF 1.3, BAF 4.3</v>
          </cell>
          <cell r="F4" t="str">
            <v>Service Delivery - There is a risk that the number of transformation workstreams within Places are not delivered which will cause a non delivery of our plans of services population health improvement and potential funding gap.</v>
          </cell>
          <cell r="G4">
            <v>4</v>
          </cell>
          <cell r="H4">
            <v>3</v>
          </cell>
          <cell r="I4">
            <v>12</v>
          </cell>
          <cell r="J4" t="str">
            <v>Accountable</v>
          </cell>
          <cell r="K4" t="str">
            <v>1)Place Committee 
2)Partnership Agreements
3)Improvement and Value Meeting
4)System Efficiency Board</v>
          </cell>
          <cell r="L4" t="str">
            <v>Lee Outhwaite 
Chief Finance Officer</v>
          </cell>
          <cell r="M4" t="str">
            <v>Previous CCG Risk Management Processes</v>
          </cell>
          <cell r="N4">
            <v>4</v>
          </cell>
          <cell r="O4">
            <v>4</v>
          </cell>
          <cell r="P4">
            <v>16</v>
          </cell>
          <cell r="Q4" t="str">
            <v>07/10/2024
14/11/2024
16/12/2024
30/01/2025
17/03/2025
28/04/2025
09/06/2025
22/06/2025
30/07/2025
01/09/2025
20/10/2025
01/12/2025
05/01/2026
09/02/2026
31/03/2026</v>
          </cell>
          <cell r="R4">
            <v>46142</v>
          </cell>
          <cell r="S4" t="str">
            <v>Not overdue</v>
          </cell>
          <cell r="T4" t="str">
            <v>Roxanna Naylor</v>
          </cell>
          <cell r="U4" t="str">
            <v xml:space="preserve">December 2025 - Barnsley Place has identified some mitigating financial contribution towards the  demand management efficiency and this will continue wherever possible for remainder of  2025/26.  Work has also commenced with our local Trust to consider both internal and external factors which need to be addressed to take cost out of the system, we are in phase 1 which will will triangulate the outputs of the basic data review with our current demand mitigation plans /Trust CIPs and scale up, stand down, drive pace where we can see biggest impact to date to inform 2026/27 plans, however at this stage the scale of plans are unlikely to meet the required level of savings to contribute to financial sustainability and the impact of the ICB staffing cost reductions will impact on the pace at which this work can progress to scale up plans.     
February 2026 - Barnsley Place has identified some mitigating financial contribution towards the  demand management efficiency and this will continue wherever possible for remainder of  2025/26.  A review of commissioning intentions for 2026/27 will inform efficiency planning and scale of opportunity.  
  </v>
          </cell>
          <cell r="V4" t="str">
            <v>Monthly</v>
          </cell>
          <cell r="W4" t="str">
            <v>ICB Place Committee</v>
          </cell>
          <cell r="X4" t="str">
            <v>Finance &amp; Investment Committee</v>
          </cell>
          <cell r="Y4">
            <v>44900</v>
          </cell>
          <cell r="Z4">
            <v>44896</v>
          </cell>
          <cell r="AA4">
            <v>869</v>
          </cell>
          <cell r="AB4" t="str">
            <v xml:space="preserve">Discussed at Finance and Investment Committee - identified matching BAF objective (4.3). Residual risk score increased to 5 x 4 = 20
14/10/24 - Split risks now applied on spreadsheet
</v>
          </cell>
        </row>
        <row r="5">
          <cell r="A5" t="str">
            <v xml:space="preserve">SY091  </v>
          </cell>
          <cell r="B5" t="str">
            <v>ICB</v>
          </cell>
          <cell r="C5" t="str">
            <v>Human Resources</v>
          </cell>
          <cell r="D5" t="str">
            <v>1,2,8</v>
          </cell>
          <cell r="E5" t="str">
            <v>BAF 1.11, BAF 2.1</v>
          </cell>
          <cell r="F5" t="str">
            <v xml:space="preserve">Corporate ICB Capacity - There is a risk of insufficient capacity in the ICB in shared functions and place teams to be able to fulfil the obligations of the ICB
</v>
          </cell>
          <cell r="G5">
            <v>3</v>
          </cell>
          <cell r="H5">
            <v>4</v>
          </cell>
          <cell r="I5">
            <v>12</v>
          </cell>
          <cell r="J5" t="str">
            <v>Accountable</v>
          </cell>
          <cell r="K5" t="str">
            <v>Vacancy management and Organisational Development (OD) work - to increase capacity and support the development and implementation of the new operating model. Number of projects rationalised.</v>
          </cell>
          <cell r="L5" t="str">
            <v>Christine Joy 
Chief People Officer
 Chris Edwards
Chief Executive</v>
          </cell>
          <cell r="M5" t="str">
            <v>Previous CCG Risk Management Processes</v>
          </cell>
          <cell r="N5">
            <v>4</v>
          </cell>
          <cell r="O5">
            <v>4</v>
          </cell>
          <cell r="P5">
            <v>16</v>
          </cell>
          <cell r="Q5" t="str">
            <v>05/12/2022                    19/04/2023                     16/05/2023                    06/07/2023             11/09/2023                 11/10/2023                    13/11/2023
15/12/2023
23/12/2024
18/03/2024
28/05/2024
03/06/2024
23/09/2024
23/12/2024
25/03/2025
31/03/2025
30/06/2025
29/09/2025
31/12/2025
02/02/2026
11/03/2026</v>
          </cell>
          <cell r="R5">
            <v>46123</v>
          </cell>
          <cell r="S5" t="str">
            <v>Not overdue</v>
          </cell>
          <cell r="T5" t="str">
            <v>Barnsley: Katy Calvin-Thomas
Doncaster: Anthony Fitzgerald 
Rotherham: Chris Edwards 
Sheffield: Emma Latimer</v>
          </cell>
          <cell r="U5" t="str">
            <v>March 2025 - Recruitment to vacancies has been ongoing since February and had a positive impact on capacity. OD work is in place to support the development and implementation of the new operating model. Shared functions and Place teams are working together to ensure the capacity is in the right place.
However tight vacancy management is now back in place since 13th March announcement on required reductions for ICBs 
December 2025 -  ICB exec meeting review resourcing regularly. Enhanced recruitment controls will be in place on an ongoing basis . Business Continuity Plan updated</v>
          </cell>
          <cell r="V5" t="str">
            <v>Monthly</v>
          </cell>
          <cell r="W5" t="str">
            <v>Operational Executive</v>
          </cell>
          <cell r="X5" t="str">
            <v>People Workforce and Culture</v>
          </cell>
          <cell r="Y5">
            <v>44900</v>
          </cell>
          <cell r="Z5">
            <v>44896</v>
          </cell>
          <cell r="AA5">
            <v>869</v>
          </cell>
          <cell r="AB5" t="str">
            <v>March 2025 - 
ICB exec meeting review resourcing regularly
Enhanced recruitment controls will be in place on an ongoing basis</v>
          </cell>
        </row>
        <row r="6">
          <cell r="A6" t="str">
            <v>SY116</v>
          </cell>
          <cell r="B6" t="str">
            <v>All Places</v>
          </cell>
          <cell r="C6" t="str">
            <v>Cancer</v>
          </cell>
          <cell r="D6" t="str">
            <v>1,2,5,6</v>
          </cell>
          <cell r="E6" t="str">
            <v>BAF 1.4.1, BAF 1.4.2, BAF 2.6, BAF 2.14, BAF 2.15, BAF 2.16</v>
          </cell>
          <cell r="F6" t="str">
            <v xml:space="preserve">Operational Recovery - There is a risk that Oral and Maxillofacial Surgery (OMFS) Consultant pressures for cancer services will lead to an increase and inequity in waiting time leading to potential harm for patients with head and neck cancer. </v>
          </cell>
          <cell r="G6">
            <v>4</v>
          </cell>
          <cell r="H6">
            <v>4</v>
          </cell>
          <cell r="I6">
            <v>16</v>
          </cell>
          <cell r="J6" t="str">
            <v>Accountable</v>
          </cell>
          <cell r="K6" t="str">
            <v xml:space="preserve">1)Discussions ongoing with Doncaster Bassetlaw Hospital Foundation Trust (DBHFT) / Sheffield Teaching Hospitals (STH) to establish solution and ensure equity of waiting times. 
2) Agreement to broaden discussions across all providers and incorporate into the wider Acute Federation review of OMFS services. </v>
          </cell>
          <cell r="L6" t="str">
            <v>Emma Latimer 
Sheffield Place Director / ICB SRO Cancer /  SRO for End of Life and Palliative Care</v>
          </cell>
          <cell r="M6" t="str">
            <v>Cancer Alliance</v>
          </cell>
          <cell r="N6">
            <v>4</v>
          </cell>
          <cell r="O6">
            <v>4</v>
          </cell>
          <cell r="P6">
            <v>16</v>
          </cell>
          <cell r="Q6" t="str">
            <v>05/09/2023               31/10/2023               05/12/2023
16/01/2024
20/05/2024
02/07/2024
05/08/2024
25/09/2024
01/10/2024
13/11/2024
30/12/2024
13/01/2025
04/02/2025
25/03/2025
12/05/2025
17/06/2025
21/07/2025
22/09/2025
03/11/2025
22/12/2025
26/01/2026
02/03/2026</v>
          </cell>
          <cell r="R6">
            <v>46114</v>
          </cell>
          <cell r="S6" t="str">
            <v>Not overdue</v>
          </cell>
          <cell r="T6" t="str">
            <v>Julia Jessop, Cancer Alliance Managing Director
Becci Chadburn</v>
          </cell>
          <cell r="U6" t="str">
            <v xml:space="preserve">3.11.2025 Work on head and neck regional diagnostic service paused due to organisational change. OMFS continues to be a priority for Acute provider federation.  
02.03.2026 - Commissioning team working with BHFT following identification of inability to provide service continuity for OMFS usc pathways. Transformation programme work to re-start from April 2026 aligned to acute federation. </v>
          </cell>
          <cell r="V6" t="str">
            <v>Monthly</v>
          </cell>
          <cell r="W6" t="str">
            <v>Quality Performance Patient Involvement Experience (QPPIE)</v>
          </cell>
          <cell r="X6" t="str">
            <v>UNDER REVIEW 21.01.25</v>
          </cell>
          <cell r="Y6">
            <v>45174</v>
          </cell>
          <cell r="Z6">
            <v>45170</v>
          </cell>
          <cell r="AA6">
            <v>673</v>
          </cell>
          <cell r="AB6" t="str">
            <v>Work still ongoing</v>
          </cell>
          <cell r="AD6" t="str">
            <v>FEG - Workforce Update - 17.09.25</v>
          </cell>
        </row>
        <row r="7">
          <cell r="A7" t="str">
            <v>SY117</v>
          </cell>
          <cell r="B7" t="str">
            <v>All Places</v>
          </cell>
          <cell r="C7" t="str">
            <v>Cancer</v>
          </cell>
          <cell r="D7" t="str">
            <v>1,5,6</v>
          </cell>
          <cell r="E7" t="str">
            <v>BAF 1.4.1, BAF 1.4.2, BAF 2.6, BAF 2.14, BAF 2.15, BAF 2.16</v>
          </cell>
          <cell r="F7" t="str">
            <v xml:space="preserve">Paediatric Radiotherapy - There is a requirement to extend the  mutual aid arrangements for Paediatric Radiotherapy with Leeds Teaching Hospitals (LTH) beyond September 2023 with a lack of confirmed date for repatriation to Sheffield Teaching Hospitals (STH). There is a risk that the paediatric radiotherapy service will not be able to be returned.  
</v>
          </cell>
          <cell r="G7">
            <v>4</v>
          </cell>
          <cell r="H7">
            <v>4</v>
          </cell>
          <cell r="I7">
            <v>16</v>
          </cell>
          <cell r="J7" t="str">
            <v>Accountable</v>
          </cell>
          <cell r="K7" t="str">
            <v>1)NHSE Specialised commissioning leading discussions with LTH, Sheffield Childrens Hospital (SCH) and STH. 
2)Mutual aid arrangements remain in  place whilst a NEY model is developed with specialised commissioners</v>
          </cell>
          <cell r="L7" t="str">
            <v>Emma Latimer 
Sheffield Place Director / ICB SRO Cancer /  SRO for End of Life and Palliative Care</v>
          </cell>
          <cell r="M7" t="str">
            <v>Cancer Alliance</v>
          </cell>
          <cell r="N7">
            <v>4</v>
          </cell>
          <cell r="O7">
            <v>4</v>
          </cell>
          <cell r="P7">
            <v>16</v>
          </cell>
          <cell r="Q7" t="str">
            <v>05/09/2023               31/10/2023               05/12/2023
16/01/2024
20/05/2024
02/07/2024
05/08/2024
25/09/2024
01/10/2024
13/11/2024
30/12/2024
04/02/2025
25/03/2025
12/05/2025
17/06/2025
21/07/2025
22/09/2025
03/11/2025
23/12/2025
26/01/2026
02/03/2026</v>
          </cell>
          <cell r="R7">
            <v>46114</v>
          </cell>
          <cell r="S7" t="str">
            <v>Not overdue</v>
          </cell>
          <cell r="T7" t="str">
            <v>Julia Jessop, Cancer Alliance Managing Director
Becci Chadburn</v>
          </cell>
          <cell r="U7" t="str">
            <v>12.05.2025 NHSE leading on securing short-term arrangements and looking at a longer term NEY model for sustainability 
29.10.2015 Specialised commissioning reviewing options with intent to take through governance to enable the preferred option to be commissioned from 1.4.2026. SY ICB are supporting the engagement process. 
23.12.2025 Plan for NHSE specialised commissioning to commission new model from 1.4.2026 with OSC discussions scheduled for Q4 25/26.
02.03.2026 NHSE specialised commissioners taking preferred option through internal governance</v>
          </cell>
          <cell r="V7" t="str">
            <v>Monthly</v>
          </cell>
          <cell r="W7" t="str">
            <v>Quality Performance Patient Involvement Experience (QPPIE)</v>
          </cell>
          <cell r="X7" t="str">
            <v>UNDER REVIEW 21.01.25</v>
          </cell>
          <cell r="Y7">
            <v>45174</v>
          </cell>
          <cell r="Z7">
            <v>45170</v>
          </cell>
          <cell r="AA7">
            <v>673</v>
          </cell>
          <cell r="AB7" t="str">
            <v>Work still ongoing</v>
          </cell>
        </row>
        <row r="8">
          <cell r="A8" t="str">
            <v>SY135</v>
          </cell>
          <cell r="B8" t="str">
            <v>Sheffield</v>
          </cell>
          <cell r="C8" t="str">
            <v>Cancer</v>
          </cell>
          <cell r="D8" t="str">
            <v>1,2,5,6</v>
          </cell>
          <cell r="E8" t="str">
            <v>BAF 1.4.1, BAF 1.4.2, BAF 2.6, BAF 2.14, BAF 2.15, BAF 2.16</v>
          </cell>
          <cell r="F8" t="str">
            <v xml:space="preserve">Cancer Performance - There is a risk that the STHFT 62-day operational performance position will not meet trajectory and impact on the overall ICB performance. </v>
          </cell>
          <cell r="G8">
            <v>5</v>
          </cell>
          <cell r="H8">
            <v>4</v>
          </cell>
          <cell r="I8">
            <v>20</v>
          </cell>
          <cell r="J8" t="str">
            <v>Accountable</v>
          </cell>
          <cell r="K8" t="str">
            <v xml:space="preserve">Assurance regarding harm minimisation processes for long waits ongoing. Work underway as part of strategy to ensure rigthsizing of capacity. </v>
          </cell>
          <cell r="L8" t="str">
            <v>Emma Latimer 
Sheffield Place Director / ICB SRO Cancer /  SRO for End of Life and Palliative Care</v>
          </cell>
          <cell r="M8" t="str">
            <v>Cancer Alliance</v>
          </cell>
          <cell r="N8">
            <v>4</v>
          </cell>
          <cell r="O8">
            <v>4</v>
          </cell>
          <cell r="P8">
            <v>16</v>
          </cell>
          <cell r="Q8" t="str">
            <v>24/10/2024
13/11/2024
30/12/2024
04/02/2025
25/03/2025
12/05/2025
17/06/2025
21/07/2025
22/09/2025
03/11/2025
10/12/2025
23/12/2025
26/01/2026
02/03/2026</v>
          </cell>
          <cell r="R8">
            <v>46114</v>
          </cell>
          <cell r="S8" t="str">
            <v>not overdue</v>
          </cell>
          <cell r="T8" t="str">
            <v>Julia Jessop, Cancer Alliance Managing Director
Becci Chadburn</v>
          </cell>
          <cell r="U8" t="str">
            <v xml:space="preserve">12.05.2025 62-day trajectory for March 2025 was not met at STHFT. 25/26 trajectories have been agreed with regional and national teams at 65% with a corresponding improvement plan. This remains below the national deliverable but represents a 10% improvement. Progress continues to be monitored through Tier 1 arrangements. 
21.07.2025 - Operational Performance Improvement Plan, which continues to be monitored through the Tier 1 meetings. Additional funding has been made available from the national programme to support Tier 1improvement schemes, this is being worked through with STHFT.
22.08.2025 62-day continues to be challenged with additional schemes funded to support recovery in urology, non surgical oncology and breast services. 22.09.2025 STHFT have produced an internal plan to support recovery in year following additional challenges.  
27.10.2025 Additional governance being established through Cancer Alliance to oversee improvement plans to support required to secure H2 recovery
23.12.2025 Monthly meeting continue to compliment Tier 1 meetings to support recovery of trajectories.
02.03.2026 Turnaround director established an improvement plan with a revised end of year target agreed with Region in Tier 1 meetings. </v>
          </cell>
          <cell r="V8" t="str">
            <v>Monthly</v>
          </cell>
          <cell r="W8" t="str">
            <v>Quality Performance Patient Involvement Experience (QPPIE)</v>
          </cell>
          <cell r="X8" t="str">
            <v>UNDER REVIEW 21.01.25</v>
          </cell>
          <cell r="Y8">
            <v>45595</v>
          </cell>
          <cell r="Z8">
            <v>45566</v>
          </cell>
          <cell r="AA8">
            <v>372</v>
          </cell>
          <cell r="AB8" t="str">
            <v>New risk added following escalation via Julia Jessop</v>
          </cell>
        </row>
        <row r="9">
          <cell r="A9" t="str">
            <v xml:space="preserve">SY021
</v>
          </cell>
          <cell r="B9" t="str">
            <v>ICB</v>
          </cell>
          <cell r="C9" t="str">
            <v>Quality</v>
          </cell>
          <cell r="D9" t="str">
            <v>1,2,5,6,8</v>
          </cell>
          <cell r="E9" t="str">
            <v>BAF 1.1, BAF 1.6.1</v>
          </cell>
          <cell r="F9" t="str">
            <v>Learning Disability Mortality Review (LeDeR) - There is a risk that the ICB will not meet national policy requirements for LeDeR, this is due to delays in agreeing workforce and accountability framework, which may result in learning not being identified and embedded across the system to prevent avoidable deaths and reduce health inequalities.  The ICB will also be in breach of Nationally set KPI's resulting in further action by NHSE</v>
          </cell>
          <cell r="G9">
            <v>4</v>
          </cell>
          <cell r="H9">
            <v>3</v>
          </cell>
          <cell r="I9">
            <v>12</v>
          </cell>
          <cell r="J9" t="str">
            <v>Responsible</v>
          </cell>
          <cell r="K9" t="str">
            <v>1) Development of a South Yorkshire Approach in line with the national policy Additional resource to address the backlog 
2) Automation and streamlining processes Additional project management resource been allocated from central LDA team</v>
          </cell>
          <cell r="L9" t="str">
            <v>Sarah Perkins
Director of Transformation and Delivery</v>
          </cell>
          <cell r="M9" t="str">
            <v>Previous CCG Risk Management Processes</v>
          </cell>
          <cell r="N9">
            <v>4</v>
          </cell>
          <cell r="O9">
            <v>3</v>
          </cell>
          <cell r="P9">
            <v>12</v>
          </cell>
          <cell r="Q9" t="str">
            <v>01/06/2022
07/12/2022
24/03/2023
30/03/2023                           
16/05/2023
06/06/2023                              
16/06/2023                    
06/07/2023                                     
05/09/2023     
16/10/2023
01/12/2023
10/01/2024
18/04/2024
29/07/2024
31/10/2024
03/02/2025
20/02/2025
07/04/2025
05/07/2025
06/10/2025
08/12/2025
15/12/2025
23/03/2026</v>
          </cell>
          <cell r="R9">
            <v>46196</v>
          </cell>
          <cell r="S9" t="str">
            <v>Not overdue</v>
          </cell>
          <cell r="T9" t="str">
            <v xml:space="preserve">Kelly Glover / Anita Winter                      </v>
          </cell>
          <cell r="U9" t="str">
            <v>06/10/25 Rapid Review Process is offering some improvement.  Reviewers have been set targets for completion of reviews per month based on their WTE to try to increase throughput.  The number of notifications being received is increasing now to a daily basis.  The FTC postholder has been extended to 31 March 2026 but a longer term capacity solution is still required.
08/12/25 Number of notifications is increasing so too the number of reviews completed.  Draft ICB Consultation shared. The consultation document contains no reference to the LeDeR function, its continuation, or where it will sit in the new structure, other than noting that the entire LeDeR team has been displaced.  An exit plan is currently being prepared. 
23/03/26 ICB Consultation further extended so unknown if LeDeR will remain in structure and if so, how it will be delivered.  Gemma Davis, reviewer's FTC ends 31/03/26 so Sheffield backlog will now start to build.  ICB and NHSE have no confirmed exit plans.  Team continue to complete reviews but notification received from December 2025 are not being scoped.</v>
          </cell>
          <cell r="V9" t="str">
            <v>Quarterly</v>
          </cell>
          <cell r="W9" t="str">
            <v>ICB Place Committee</v>
          </cell>
          <cell r="X9" t="str">
            <v>Quality Performance Patient Involvement Experience (QPPIE)</v>
          </cell>
          <cell r="Y9">
            <v>44713</v>
          </cell>
          <cell r="Z9">
            <v>44713</v>
          </cell>
          <cell r="AA9">
            <v>1002</v>
          </cell>
          <cell r="AB9" t="str">
            <v>Residual likelihood reduced to 3 from 4 due to the ongoing development work and mitigations particularly due to making the fixed term post a permanent post which was due to finish in March 25.</v>
          </cell>
        </row>
        <row r="10">
          <cell r="A10" t="str">
            <v>SY040 - B</v>
          </cell>
          <cell r="B10" t="str">
            <v>ICB</v>
          </cell>
          <cell r="C10" t="str">
            <v>Children and Young People</v>
          </cell>
          <cell r="D10" t="str">
            <v>5, 6</v>
          </cell>
          <cell r="E10" t="str">
            <v>BAF 1.4.1, BAF 1.4.2, BAF 1.4.3.1, BAF 1.4.3, BAF 1.6.1, BAF 1.6.2, BAF 1.6.3</v>
          </cell>
          <cell r="F10" t="str">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ell>
          <cell r="G10">
            <v>3</v>
          </cell>
          <cell r="H10">
            <v>4</v>
          </cell>
          <cell r="I10">
            <v>12</v>
          </cell>
          <cell r="J10" t="str">
            <v>Accountable</v>
          </cell>
          <cell r="K10" t="str">
            <v>1)Regular partnership meetings on CYP Emotional and Mental Wellbeing
2)Joint commissioning approach in place with LA Public Health
3)Branching Minds service bringing key provider partners together to ensure referrals are triaged to most appropriate service</v>
          </cell>
          <cell r="L10" t="str">
            <v>Sarah Perkins
Director of Transformation and Delivery</v>
          </cell>
          <cell r="M10" t="str">
            <v>Previous CCG Risk Management Processes</v>
          </cell>
          <cell r="N10">
            <v>3</v>
          </cell>
          <cell r="O10">
            <v>4</v>
          </cell>
          <cell r="P10">
            <v>12</v>
          </cell>
          <cell r="Q10" t="str">
            <v>04/08/2024
11/11/2024
10/02/2025
07/04/2025
19/05/2025
30/05/2025
18/08/2025
08/09/2025
06/10/2025
12/12/2025
16/03/2026</v>
          </cell>
          <cell r="R10">
            <v>46189</v>
          </cell>
          <cell r="S10" t="str">
            <v>not overdue</v>
          </cell>
          <cell r="T10" t="str">
            <v>Jamie Wike</v>
          </cell>
          <cell r="U10" t="str">
            <v xml:space="preserve"> Significant investment has taken place over recent years to enhance and expand the CAMHS services and other related services for CYP including services relating to neurodevelopmental pathways.  In Barnsley Community Paediatrics as contributes to this work as they provide the Autism Spectrum Disorder (ASD) Assessment Service.  
Aug 2024 - System mapping of CYP EH&amp;WB services and pathways undertaken to identify opportunities for improvement.  Recommendations being implemented via the Barnsley Mental Health Delivery Group                 
Nov 2024 - Strategic Commissioning Review commenced following the system mapping to ensure that the approach to commissioning a wide range of services to improve outcomes for CYP is ensuring optimised outcomes and value for money          
Aug 2025 - Review completed which has identified opportunities for further improvement and transformation of services across CYP EH&amp;WB services - this work is being taken forward through the MH Delivery Group.  The CAMHS service is being enhanced utilising MHIS funding in 2025/26 to support people with LD and MH.      
March 2026 - CAMHS LD service has been commissioned and is currently being mobilised.                                                                                                                                                                                                                                                                                                                                                                                                                                                                                                                                                                                                                                                                                                      </v>
          </cell>
          <cell r="V10" t="str">
            <v>Quarterly</v>
          </cell>
          <cell r="W10" t="str">
            <v>ICB Place Committee</v>
          </cell>
          <cell r="X10" t="str">
            <v>Quality Performance Patient Involvement Experience (QPPIE)</v>
          </cell>
          <cell r="Y10">
            <v>44900</v>
          </cell>
          <cell r="Z10">
            <v>44896</v>
          </cell>
          <cell r="AA10">
            <v>869</v>
          </cell>
          <cell r="AB10" t="str">
            <v>14/10/24 - Split risks now applied on spreadsheet</v>
          </cell>
        </row>
        <row r="11">
          <cell r="A11" t="str">
            <v>SY040 - D</v>
          </cell>
          <cell r="B11" t="str">
            <v>ICB</v>
          </cell>
          <cell r="C11" t="str">
            <v>Children and Young People</v>
          </cell>
          <cell r="D11" t="str">
            <v>5, 6</v>
          </cell>
          <cell r="E11" t="str">
            <v>BAF 1.4.1, BAF 1.4.2, BAF 1.4.3.1, BAF 1.4.3, BAF 1.6.1, BAF 1.6.2, BAF 1.6.3</v>
          </cell>
          <cell r="F11" t="str">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ell>
          <cell r="G11">
            <v>3</v>
          </cell>
          <cell r="H11">
            <v>4</v>
          </cell>
          <cell r="I11">
            <v>12</v>
          </cell>
          <cell r="J11" t="str">
            <v>Accountable</v>
          </cell>
          <cell r="K11" t="str">
            <v xml:space="preserve">Monthly place based Clinical Quality Review Group oversight </v>
          </cell>
          <cell r="L11" t="str">
            <v>Sarah Perkins
Director of Transformation and Delivery</v>
          </cell>
          <cell r="M11" t="str">
            <v>Previous CCG Risk Management Processes</v>
          </cell>
          <cell r="N11">
            <v>3</v>
          </cell>
          <cell r="O11">
            <v>4</v>
          </cell>
          <cell r="P11">
            <v>12</v>
          </cell>
          <cell r="Q11" t="str">
            <v>30/09/2024
16/01/2025
07/04/2025
28/04/2025
20/06/2025
07/07/2025
06/10/2025
05/01/2026</v>
          </cell>
          <cell r="R11">
            <v>46117</v>
          </cell>
          <cell r="S11" t="str">
            <v>not overdue</v>
          </cell>
          <cell r="T11" t="str">
            <v>Ailsa Leighton</v>
          </cell>
          <cell r="U11" t="str">
            <v xml:space="preserve">June 2025 - The CYP Neuro pathway has now transitioned across to RDASH .  Over time it is expected that waiting times will reduce, alongside support being provided for parents and children whilst waiting assessment.              
January 2026- The CYP Neuro pathway successfully transitioned across to RDASH; waits for combined assessments have improved but increased waits have been seen for ASD and ADHD- this is under review    </v>
          </cell>
          <cell r="V11" t="str">
            <v>Quarterly</v>
          </cell>
          <cell r="W11" t="str">
            <v>ICB Place Committee</v>
          </cell>
          <cell r="X11" t="str">
            <v>Quality Performance Patient Involvement Experience (QPPIE)</v>
          </cell>
          <cell r="Y11">
            <v>44900</v>
          </cell>
          <cell r="Z11">
            <v>44896</v>
          </cell>
          <cell r="AA11">
            <v>869</v>
          </cell>
          <cell r="AB11" t="str">
            <v>14/10/24 - Split risks now applied on spreadsheet</v>
          </cell>
        </row>
        <row r="12">
          <cell r="A12" t="str">
            <v>SY040 - R</v>
          </cell>
          <cell r="B12" t="str">
            <v>All Places</v>
          </cell>
          <cell r="C12" t="str">
            <v>Children and Young People</v>
          </cell>
          <cell r="D12" t="str">
            <v>5, 6</v>
          </cell>
          <cell r="E12" t="str">
            <v>BAF 1.4.1, BAF 1.4.2, BAF 1.4.3.1, BAF 1.4.3, BAF 1.6.1, BAF 1.6.2, BAF 1.6.3</v>
          </cell>
          <cell r="F12" t="str">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ell>
          <cell r="G12">
            <v>3</v>
          </cell>
          <cell r="H12">
            <v>4</v>
          </cell>
          <cell r="I12">
            <v>12</v>
          </cell>
          <cell r="J12" t="str">
            <v>Accountable</v>
          </cell>
          <cell r="K12" t="str">
            <v>Weekly meeting between RICB and RDaSH, CAMHS and TRFT.  
Monthly CAMHS contract performance meeting.  "</v>
          </cell>
          <cell r="L12" t="str">
            <v>Sarah Perkins
Director of Transformation and Delivery</v>
          </cell>
          <cell r="M12" t="str">
            <v>Previous CCG Risk Management Processes</v>
          </cell>
          <cell r="N12">
            <v>3</v>
          </cell>
          <cell r="O12">
            <v>4</v>
          </cell>
          <cell r="P12">
            <v>12</v>
          </cell>
          <cell r="Q12" t="str">
            <v>23/09/2024
23/12/2024
30/12/2024
01/04/2025
07/04/2025
30/06/2025
07/07/2025
06/10/2025
05/01/2026</v>
          </cell>
          <cell r="R12">
            <v>46117</v>
          </cell>
          <cell r="S12" t="str">
            <v>not overdue</v>
          </cell>
          <cell r="T12" t="str">
            <v>Claire Smith</v>
          </cell>
          <cell r="U12" t="str">
            <v>January 2025 - The peer review was superseded as we had an unannounced (CQC/OFSTED) inspection which went well and our outcome is now published. The positive outcome means we wont be inspected for at least 5 years. We have also agreed some non recurrent money for our CDC neurodevelopment assessment service to reduce waiting times (0-5 yrs) a trajectory is being developed with TRFT.  funding transferred to trft and resource increasing to provide support to reduce waits - monitoring in place 
Oct - progressing well with additional resource in place 
Jan 26 - continue to monitor and progressing well wth reduction in those waiting times</v>
          </cell>
          <cell r="V12" t="str">
            <v>Quarterly</v>
          </cell>
          <cell r="W12" t="str">
            <v>ICB Place Committee</v>
          </cell>
          <cell r="X12" t="str">
            <v>Quality Performance Patient Involvement Experience (QPPIE)</v>
          </cell>
          <cell r="Y12">
            <v>44900</v>
          </cell>
          <cell r="Z12">
            <v>44896</v>
          </cell>
          <cell r="AA12">
            <v>869</v>
          </cell>
          <cell r="AB12" t="str">
            <v>14/10/24 - Split risks now applied on spreadsheet</v>
          </cell>
        </row>
        <row r="13">
          <cell r="A13" t="str">
            <v>SY040 - System</v>
          </cell>
          <cell r="B13" t="str">
            <v>ICB</v>
          </cell>
          <cell r="C13" t="str">
            <v>Children and Young People</v>
          </cell>
          <cell r="D13" t="str">
            <v>5, 6</v>
          </cell>
          <cell r="E13" t="str">
            <v>BAF 1.4.1, BAF 1.4.2, BAF 1.4.3.1, BAF 1.4.3, BAF 1.6.1, BAF 1.6.2, BAF 1.6.3</v>
          </cell>
          <cell r="F13" t="str">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ell>
          <cell r="G13">
            <v>3</v>
          </cell>
          <cell r="H13">
            <v>4</v>
          </cell>
          <cell r="I13">
            <v>12</v>
          </cell>
          <cell r="J13" t="str">
            <v>Accountable</v>
          </cell>
          <cell r="K13" t="str">
            <v xml:space="preserve">1)Monthly contracting and performance meetings are in place across South yorkshire between Place ICB teams and their respective Providers.
2) In addition the MHLDA ProviderCollaborative has in place a work programme to address collective issues with the neurodevelopmental pathways which reports monthly into an operational meeting and bi-monthly to the provider collaborative board. 
</v>
          </cell>
          <cell r="L13" t="str">
            <v>Sarah Perkins
Director of Transformation and Delivery</v>
          </cell>
          <cell r="M13" t="str">
            <v>Previous CCG Risk Management Processes</v>
          </cell>
          <cell r="N13">
            <v>3</v>
          </cell>
          <cell r="O13">
            <v>4</v>
          </cell>
          <cell r="P13">
            <v>12</v>
          </cell>
          <cell r="Q13" t="str">
            <v>05/12/2022
02/03/2023                                    19/04/2023                    06/07/2023                 18/08/2023
14/08/2023       04/09/2023                   16/10/2023
03/01/2024
17/01/2024
01/02/2024
14/03/2024
15/04/2024
09/05/2024
17/06/2024
15/07/2024
05/08/2024
16/09/2024
23/09/2024
25/09/2024
04/11/2024
07/02/2025
11/03/2025
07/04/2025
15/07/2025
06/10/2025
06/01/2026</v>
          </cell>
          <cell r="R13">
            <v>46118</v>
          </cell>
          <cell r="S13" t="str">
            <v>Not overdue</v>
          </cell>
          <cell r="T13" t="str">
            <v>Sarah Boul</v>
          </cell>
          <cell r="U13" t="str">
            <v xml:space="preserve">January 2026 - Since July 2025 a working group has been established to consider both autism and ADHD pathways. SLE have agreed for a managed market approach to diagnosis and treatment of CYP ASD/ADHD and adult ADHD that is NICE compliant, incentivises wait time reduction, and rationalises risks of unwarranted place difference be progressed. A service specification and tariff model are being worked up and market engagement underway to look to implement this in 2026/27. There will be further, slower paced work on autism diagnosis/support offers, which requires co-production with people with lived experience. </v>
          </cell>
          <cell r="V13" t="str">
            <v>Quarterly</v>
          </cell>
          <cell r="W13" t="str">
            <v>ICB Place Committee</v>
          </cell>
          <cell r="X13" t="str">
            <v>Quality Performance Patient Involvement Experience (QPPIE)</v>
          </cell>
          <cell r="Y13">
            <v>44900</v>
          </cell>
          <cell r="Z13">
            <v>44896</v>
          </cell>
          <cell r="AA13">
            <v>869</v>
          </cell>
        </row>
        <row r="14">
          <cell r="A14" t="str">
            <v>SY040-S</v>
          </cell>
          <cell r="B14" t="str">
            <v>ICB</v>
          </cell>
          <cell r="C14" t="str">
            <v>Children and Young People</v>
          </cell>
          <cell r="D14" t="str">
            <v>5, 6</v>
          </cell>
          <cell r="E14" t="str">
            <v>BAF 1.4.1, BAF 1.4.2, BAF 1.4.3.1, BAF 1.4.3, BAF 1.6.1, BAF 1.6.2, BAF 1.6.3</v>
          </cell>
          <cell r="F14" t="str">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ell>
          <cell r="G14">
            <v>3</v>
          </cell>
          <cell r="H14">
            <v>4</v>
          </cell>
          <cell r="I14">
            <v>12</v>
          </cell>
          <cell r="J14" t="str">
            <v>Accountable</v>
          </cell>
          <cell r="K14" t="str">
            <v xml:space="preserve">1)Monthly CAMHS contract performance meeting.  "
2) In Sheffield this is managed through the C&amp;YP element of the HCP structure - now have fortnightly Neuro Disability Board at Place </v>
          </cell>
          <cell r="L14" t="str">
            <v>Sarah Perkins
Director of Transformation and Delivery</v>
          </cell>
          <cell r="M14" t="str">
            <v>Previous CCG Risk Management Processes</v>
          </cell>
          <cell r="N14">
            <v>3</v>
          </cell>
          <cell r="O14">
            <v>4</v>
          </cell>
          <cell r="P14">
            <v>12</v>
          </cell>
          <cell r="Q14" t="str">
            <v>26/09/2024
07/04/2025
24/04/2025
07/07/2025
16/09/2025
06/10/2025
19/01/2026</v>
          </cell>
          <cell r="R14">
            <v>46131</v>
          </cell>
          <cell r="S14" t="str">
            <v>not overdue</v>
          </cell>
          <cell r="T14" t="str">
            <v>Ian Atkinson</v>
          </cell>
          <cell r="U14" t="str">
            <v xml:space="preserve">Sheffield: New Fortnightly Neurodiversity Senior Leaders established with ICB place team, SCH and SCC. Focusing on model of delivery, approach to diagnosis and waiting list management. Proposals to be considered by HCP board in December  </v>
          </cell>
          <cell r="V14" t="str">
            <v>Quarterly</v>
          </cell>
          <cell r="W14" t="str">
            <v>ICB Place Committee</v>
          </cell>
          <cell r="X14" t="str">
            <v>Quality Performance Patient Involvement Experience (QPPIE)</v>
          </cell>
          <cell r="Y14">
            <v>44900</v>
          </cell>
          <cell r="Z14">
            <v>44896</v>
          </cell>
          <cell r="AA14">
            <v>869</v>
          </cell>
          <cell r="AB14" t="str">
            <v>14/10/24 - Split risks now applied on spreadsheet</v>
          </cell>
        </row>
        <row r="15">
          <cell r="A15" t="str">
            <v xml:space="preserve">SY042 - D
</v>
          </cell>
          <cell r="B15" t="str">
            <v>All Places</v>
          </cell>
          <cell r="C15" t="str">
            <v>Finance inc Fraud</v>
          </cell>
          <cell r="D15" t="str">
            <v>6, 7</v>
          </cell>
          <cell r="E15" t="str">
            <v>BAF 1.1.1 BAF 1.3, BAF 4.3</v>
          </cell>
          <cell r="F15" t="str">
            <v>Service Delivery - There is a risk that the number of transformation workstreams within Places are not delivered which will cause a non delivery of our plans of services population health improvement and potential funding gap.</v>
          </cell>
          <cell r="G15">
            <v>4</v>
          </cell>
          <cell r="H15">
            <v>3</v>
          </cell>
          <cell r="I15">
            <v>12</v>
          </cell>
          <cell r="J15" t="str">
            <v>Accountable</v>
          </cell>
          <cell r="K15" t="str">
            <v xml:space="preserve">1) Place Committee - oversight of place finance position 
2) Partnership Agreements
3) Oversight of financial position at monthly SMT meetings
4) Internal QIPP board in place which monitors delivery of efficiency schemes and transformational programmes , this takes place fortnightly attended by the Exec Place Director.
5) Place Finance and Efficiency Group - looking to rebrand this as a Financial Recovery Group. This has been delayed due to changes in senior posts (Director of Finance Posts) in local partner organisations . However this is currently being jointly developed by new post holders. 
6) Each place organisation has Efficiency plans in place and a number of schemes where joint work is being explored . Along side this a financial principles paper has been developed which looks at risk / gain share approach to transformation plans to support the place deficit position.
7) Risk share arrangement for Out of Area Placements in place with Rotherham Doncaster and South Humber NHS FT (RDaSH)
8) Deep Dive meeting as part of turnaround has identified further efficiencies 
9)  review all contracts for further efficiencies </v>
          </cell>
          <cell r="L15" t="str">
            <v>Lee Outhwaite 
Chief Finance Officer</v>
          </cell>
          <cell r="M15" t="str">
            <v>Previous CCG Risk Management Processes</v>
          </cell>
          <cell r="N15">
            <v>5</v>
          </cell>
          <cell r="O15">
            <v>4</v>
          </cell>
          <cell r="P15">
            <v>20</v>
          </cell>
          <cell r="Q15" t="str">
            <v>08/10/2024
14/11/2024
06/01/2025
30/01/2025
22/06/2025
30/07/2025
31/07/2025
10/09/2025
13/10/2025
07/01/2026
31/03/2026</v>
          </cell>
          <cell r="R15">
            <v>46142</v>
          </cell>
          <cell r="S15" t="str">
            <v>not overdue</v>
          </cell>
          <cell r="T15" t="str">
            <v xml:space="preserve">Hayley Tingle
</v>
          </cell>
          <cell r="U15" t="str">
            <v xml:space="preserve">January 2026 - Continue with review of contracts at place to identify any further efficiency opportunities as well as working on optimising pathway and care delivery changes which deliver financial efficiencies while still optimising quality - for eg recent review of stoma services in Doncaster 
</v>
          </cell>
          <cell r="V15" t="str">
            <v>Monthly</v>
          </cell>
          <cell r="W15" t="str">
            <v>ICB Place Committee</v>
          </cell>
          <cell r="X15" t="str">
            <v>Finance &amp; Investment Committee</v>
          </cell>
          <cell r="Y15">
            <v>44900</v>
          </cell>
          <cell r="Z15">
            <v>44896</v>
          </cell>
          <cell r="AA15">
            <v>869</v>
          </cell>
          <cell r="AB15" t="str">
            <v>Discussed at Finance and Investment Committee - identified matching BAF objective (4.3). Residual risk score increased to 5 x 4 = 20
Doncaster: 09/09/2024: Continue to monitor the financial position, efficiency delivery and emerging risks. Plans are in place to identify stretch efficiency targets as mitigating actions  as well as a review of all contracts in place .
14/10/24 - Split risks now applied on spreadsheet
June 2025 - Continue to monitor the financial position, efficiency delivery and emerging risks. Plans are in place to identify stretch efficiency targets as mitigating actions  as well as a review of all contracts in place . This continues to be reported to SMT with a high level summary to place committee and now with a subset of the overall schemes reported into a reconstituted System Efficiency Board.</v>
          </cell>
        </row>
        <row r="16">
          <cell r="A16" t="str">
            <v>SY042 - R</v>
          </cell>
          <cell r="B16" t="str">
            <v>All Places</v>
          </cell>
          <cell r="C16" t="str">
            <v>Finance inc Fraud</v>
          </cell>
          <cell r="D16" t="str">
            <v>6, 7</v>
          </cell>
          <cell r="E16" t="str">
            <v>BAF 1.1.1 BAF 1.3, BAF 4.3</v>
          </cell>
          <cell r="F16" t="str">
            <v xml:space="preserve">Service Delivery - There is a risk that the number of transformation workstreams within Places are not delivered which will cause a non delivery of our plans of services population health improvement and potential funding gap.
</v>
          </cell>
          <cell r="G16">
            <v>4</v>
          </cell>
          <cell r="H16">
            <v>3</v>
          </cell>
          <cell r="I16">
            <v>12</v>
          </cell>
          <cell r="J16" t="str">
            <v>Accountable</v>
          </cell>
          <cell r="K16" t="str">
            <v>1. Rotherham Place Committee  receives updates at regular intervals- papers and verbal updates. 
2. Rotherham Place  Leadership Team meets weekly and can be a  forum for any operational escalations .   
3. The ICB via it's Improvement and Value Meetings (and in conjunction with central PMO) currently undertaking review of 500+ list ed transformation projects with a view to traiging and prioritising. This is a major mitigation .</v>
          </cell>
          <cell r="L16" t="str">
            <v>Lee Outhwaite 
Chief Finance Officer</v>
          </cell>
          <cell r="M16" t="str">
            <v>Previous CCG Risk Management Processes</v>
          </cell>
          <cell r="N16">
            <v>3</v>
          </cell>
          <cell r="O16">
            <v>4</v>
          </cell>
          <cell r="P16">
            <v>12</v>
          </cell>
          <cell r="Q16" t="str">
            <v>30/09/2024
04/11/2024
05/12/2024
30/01/2025
07/02/2025
05/06/2025
22/06/2025
30/07/2025
06/10/2025
05/01/2026</v>
          </cell>
          <cell r="R16">
            <v>46117</v>
          </cell>
          <cell r="S16" t="str">
            <v>not overdue</v>
          </cell>
          <cell r="T16" t="str">
            <v>Wendy Allott
Claire Smith</v>
          </cell>
          <cell r="U16" t="str">
            <v xml:space="preserve">July 25 - high impact work is progressing with some successful outcomes in areas such as reducing respiratory admissions, although this is not improving the overall demand on attendances in UEC. Exec meetings with partners are in place with another scheduled for this month. updates through I&amp;V
October 2025 - ICB has met with TRFT colleagues twice now to progress work to look at how we reduce the bed base in acute through management of demand. A3 completed for this workstream 
January 26 -efficiencies have been found for 25 26 and there are plans in place for further in 26 27 = not sufficient in place alone to meet deficit position. Commissioning intentions have picked up priorities relating to demand management considering ability to deliver given reduce resource moving forward  </v>
          </cell>
          <cell r="V16" t="str">
            <v>Monthly</v>
          </cell>
          <cell r="W16" t="str">
            <v>ICB Place Committee</v>
          </cell>
          <cell r="X16" t="str">
            <v>Finance &amp; Investment Committee</v>
          </cell>
          <cell r="Y16">
            <v>44900</v>
          </cell>
          <cell r="Z16">
            <v>44896</v>
          </cell>
          <cell r="AA16">
            <v>869</v>
          </cell>
          <cell r="AB16" t="str">
            <v>Discussed at Finance and Investment Committee - identified matching BAF objective (4.3). Residual risk score increased to 5 x 4 = 20
14/10/24 - Split risks now applied on spreadsheet</v>
          </cell>
        </row>
        <row r="17">
          <cell r="A17" t="str">
            <v>SY082 - System</v>
          </cell>
          <cell r="B17" t="str">
            <v>All Places</v>
          </cell>
          <cell r="C17" t="str">
            <v>Mental Health Services inc. LD/Autism/CAMHS</v>
          </cell>
          <cell r="D17" t="str">
            <v>1,2,3,5,6</v>
          </cell>
          <cell r="E17" t="str">
            <v>BAF 1.4.1, BAF 1.6.3, BAF 2.9</v>
          </cell>
          <cell r="F17" t="str">
            <v xml:space="preserve">Adult Mental Health (MEED) - There is a risk of increased presentation of eating disorders in adults, across the ICB. . This is due to unmet need and lack of provision in this pathway across the system. Secondly there are issues around the current available services and the capacity of these to meet the needs of patients already known to services (all-age). Lastly, there is an increased need in the adult eating disorder pathway following Covid-19 and an exponential growth in the number of children and young people with eating disorders who are now transitioning to adult services. This is leading to increased acuity in presentations, increased demand on primary care, impact in acute hospital trusts (Medical Emergency in Eating Disorders [MEED] pathways) and increased demand on crisis provision and inpatient beds. </v>
          </cell>
          <cell r="G17">
            <v>3</v>
          </cell>
          <cell r="H17">
            <v>4</v>
          </cell>
          <cell r="I17">
            <v>12</v>
          </cell>
          <cell r="J17" t="str">
            <v>Accountable</v>
          </cell>
          <cell r="K17" t="str">
            <v>1)A partnership SY Eating Disorders programme, managed by the Provider Collaborative, is in place bringing together good practice, raising the profile of the need for improvements of services and collectively reviewing risks/priorities. 
2)There is some commissioned provision with Sheffield Eating Disorders Service (SEDS) provided by SHSC for Sheffield, Barnsley and Rotherham. This is also accessed by some Doncaster patients via patient choice mechanisms.
3)There is a service for low to moderate support commissioned across South Yorkshire with SYEDA.   
4)Support is provided to Acute Trusts from Mental Health Liaison Teams when patients are admitted with an eating disorder. MEED baseline work has been completed including current pathways and self-assessment of compliance.
5) Investment identified to expand services in Barnsley, Doncaster and Rotherham has been confirmed. SHSC will be the lead provider for the service via their SEDs team and recruitment to the expansion posts is currently underway, with staff expected to start in the Autumn 2025. 
6) MEED pathway work being jointly developed by Acute Federation and SY MHLDA Provider Collaborative. Plan to introduce a funded, co-ordinated service and oversight utilising 2025/26 funding. – New update: A paper was tabled at the Joint Committee for Eating Disorders on 11 August 2025 proposing to decommission a service called Stepping Stones that has been a pilot under specialised commissioning and reinvest the funds to implement a part year support proposal of: 
• 2 MEED workers
• 2 PAs of a Consultant
The cost would be £160,870 FYE or £67,055 for 25/26 PYE from November onwards, which is when recruitment could potentially be underway. 
7) Safe decommissioning of adult stepping stones service, with funding reallocated to support the recruitment of an adult MEED worker.</v>
          </cell>
          <cell r="L17" t="str">
            <v>Sarah Perkins
Director of Transformation and Delivery</v>
          </cell>
          <cell r="M17" t="str">
            <v>Claire Smith following public complaints</v>
          </cell>
          <cell r="N17">
            <v>3</v>
          </cell>
          <cell r="O17">
            <v>4</v>
          </cell>
          <cell r="P17">
            <v>12</v>
          </cell>
          <cell r="Q17" t="str">
            <v>05/12/2022 
24/03/2023            
30/03/2023                                               19/04/2023                                         02/05/23                  04/05/2023                16/05/2023                     01/06/2023                    03/07/2023                    06/07/2023               01/08/2023
14/08/2023                 04/09/2023                                     16/10/2023                  01/11/2023
03/01/2024
08/01/2024
17/01/2024
01/02/2024
06/02/2024
01/03/2024
14/03/2024
15/04/2024
22/04/2024
29/07/2024
05/08/2024
16/09/2024
23/09/2024
26/09/2024
30/09/2024
01/11/2024
30/12/2024
03/02/2025
11/03/2025
07/04/2025
15/07/2025
18/08/2025
06/10/2025
06/01/2026</v>
          </cell>
          <cell r="R17">
            <v>46118</v>
          </cell>
          <cell r="S17" t="str">
            <v>Not overdue</v>
          </cell>
          <cell r="T17" t="str">
            <v>Sarah Boul</v>
          </cell>
          <cell r="U17" t="str">
            <v xml:space="preserve">January 2026 - Referrals are now flowing from Barnsley, Doncaster, and Rotherham, indicating successful expansion of community eating disorder services. Actions are progressing well with the proposal for Phase one of the MEED development whereby all existing adult providers receiving additional funding for medical and practitioner time.   Job descriptions have been drafted and EDJC communications with acute leaders are underway. A requirement for a second phase of changes from October 2026 will be strengthened in the ICB commissioning intentions. There are ongoing discussions regarding reconfiguration of the inpatient estate to better meet patients needs locally and capital bids have been submitted to seek funding to support this. </v>
          </cell>
          <cell r="V17" t="str">
            <v>Quarterly</v>
          </cell>
          <cell r="W17" t="str">
            <v>ICB Place Committee</v>
          </cell>
          <cell r="X17" t="str">
            <v>Quality Performance Patient Involvement Experience (QPPIE)</v>
          </cell>
          <cell r="Y17">
            <v>44900</v>
          </cell>
          <cell r="Z17">
            <v>44896</v>
          </cell>
          <cell r="AA17">
            <v>869</v>
          </cell>
          <cell r="AB17" t="str">
            <v>Assessment of the balance of risk to be completed post outcome of discussions with MH Provider Collaborative. 
Sheffield: 07/08/24 - Corporate Risk Team met with WL. Action for IA to review score and provide update in conjunction with Sarah Boul</v>
          </cell>
        </row>
        <row r="18">
          <cell r="A18" t="str">
            <v>SY107 - B</v>
          </cell>
          <cell r="B18" t="str">
            <v>All Places</v>
          </cell>
          <cell r="C18" t="str">
            <v>Children and Young People</v>
          </cell>
          <cell r="D18" t="str">
            <v>1,2,3,4,5,6,7,8</v>
          </cell>
          <cell r="E18" t="str">
            <v>BAF 1.1, BAF 1.4.3.1, BAF 1.4.3, BAF 1.6.1, BAF 1.6.3</v>
          </cell>
          <cell r="F18" t="str">
            <v>Community Paediatrics/Childrens Pathways - There is a risk that current commissioned services, pathways and capacity of the services in place to support people are not aligned to meet the increasing needs of the Children and Young People (CYP) population (Including Autim Spectrum Disorder (ASD) Assessments, Sleep Pathways, Enuresis/Continence Support Speech and Language Therapy (SALT) and other related services is insufficient to meet the increasing demand resulting in people not receiving the timely care and support they require by the most appropriate service in the most appropriate setting. This could result in poor patient experience and impact upon quality of care and support. This also increases the risk that the ICB and Local Authority are unable to meet their statutory duties in relation to Education Health Care Plan (EHCP)/Special Eduacational Needs and Disaibilities (SEND) and means that children and young people are not having their needs met appropriately</v>
          </cell>
          <cell r="G18">
            <v>4</v>
          </cell>
          <cell r="H18">
            <v>4</v>
          </cell>
          <cell r="I18">
            <v>16</v>
          </cell>
          <cell r="J18" t="str">
            <v>Responsible</v>
          </cell>
          <cell r="K18" t="str">
            <v xml:space="preserve">1)ICB Place Committees/Leadership - oversight of risk and actions required to mitigate. QPIE meetings and local quality meetings.
2)Place Governance in place for SEND, jointly with LA.
3)Strategic Neurodiversity/ASD Group established in place with Director level representation across Health, Care and Education to lead development of a new strengthened needs led model of support for CYP
4)CYP Improvement Plan in place
</v>
          </cell>
          <cell r="L18" t="str">
            <v xml:space="preserve">Katy Calvin-Thomas
Barnsley Place Director
</v>
          </cell>
          <cell r="M18" t="str">
            <v>OE</v>
          </cell>
          <cell r="N18">
            <v>3</v>
          </cell>
          <cell r="O18">
            <v>4</v>
          </cell>
          <cell r="P18">
            <v>12</v>
          </cell>
          <cell r="Q18" t="str">
            <v>05/08/2024
18/10/2024
11/11/2024
10/02/2025
19/05/2025
30/05/2025
08/09/2025
12/12/2025
16/03/2026</v>
          </cell>
          <cell r="R18">
            <v>46189</v>
          </cell>
          <cell r="S18" t="str">
            <v>not overdue</v>
          </cell>
          <cell r="T18" t="str">
            <v>Jamie Wike</v>
          </cell>
          <cell r="U18" t="str">
            <v xml:space="preserve">September 2025 - Barnsley: 'All Age Autism Partnership Delivery Group is in place bringing together all partners to deliver the Autism Strategy Delivery Plan and to oversee the delivery of improvements to pathways and waiting times in services included ASD Assessment.  SEND Area Partnership Board is in place with Health representation from providers as well as commissioner  - Work has been undertaken on a Self Evaluation and preparation for future inspection as part of the revised SEND Inspection Framework
Sleep Pathway T&amp;F group is in place with all partners represented to support the development of a clear sleep pathway for C&amp;YP who require support.  This includes early help and community based pathways through to secondary care services and specialist care.
Joint lead for Children's Commissioning is in place working on place priorities across health and care.
New Strategic Group has also been established with Director level representation across partners specifically to lead place work on ASD for CYP and link to the SY work being led jointly by the LA's, ICB and provider collaborative.
March 2026 - Work continues across all pathways as described in September update.  In addition, through the ASD Strategic Group there have been improvements to pathways to improve efficacy and LA funding has been provided to commissioning additional assessment and diagnostic support.  ICB have also agreed a new commissioning policy for ASD/ADHD
</v>
          </cell>
          <cell r="V18" t="str">
            <v>Quarterly</v>
          </cell>
          <cell r="W18" t="str">
            <v>ICB Place Committee</v>
          </cell>
          <cell r="X18" t="str">
            <v>Quality Performance Patient Involvement Experience (QPPIE)</v>
          </cell>
          <cell r="Y18">
            <v>45124</v>
          </cell>
          <cell r="Z18">
            <v>45108</v>
          </cell>
          <cell r="AA18">
            <v>709</v>
          </cell>
          <cell r="AB18" t="str">
            <v>September 2025 - There continues to be significant pressures on ASD Assessment pathways and whilst partnership discussions continue at place, there is not an identified solution to addressing the significant number of CYP on the waiting list and length of waits and there continue to be challenges in relation to workforce but work is ongoing to identify additional capacity to focus on addressing the waits alongside the work to develop a new model and approach.</v>
          </cell>
        </row>
        <row r="19">
          <cell r="A19" t="str">
            <v>SY107 - D</v>
          </cell>
          <cell r="B19" t="str">
            <v>All Places</v>
          </cell>
          <cell r="C19" t="str">
            <v>Children and Young People</v>
          </cell>
          <cell r="D19" t="str">
            <v>1,2,3,4,5,6,7,8</v>
          </cell>
          <cell r="E19" t="str">
            <v>BAF 1.1, BAF 1.4.3.1, BAF 1.4.3, BAF 1.6.1, BAF 1.6.3</v>
          </cell>
          <cell r="F19" t="str">
            <v>Community Paediatrics/Childrens Pathways - There is a risk that current commissioned services, pathways and capacity of the services in place to support people are not aligned to meet the increasing needs of the Children and Young People (CYP) population (Including Autim Spectrum Disorder (ASD) Assessments, Sleep Pathways, Enuresis/Continence Support Speech and Language Therapy (SALT) and other related services is insufficient to meet the increasing demand resulting in people not receiving the timely care and support they require by the most appropriate service in the most appropriate setting. This could result in poor patient experience and impact upon quality of care and support. This also increases the risk that the ICB and Local Authority are unable to meet their statutory duties in relation to Education Health Care Plan (EHCP)/Special Eduacational Needs and Disaibilities (SEND) and means that children and young people are not having their needs met appropriately</v>
          </cell>
          <cell r="G19">
            <v>4</v>
          </cell>
          <cell r="H19">
            <v>4</v>
          </cell>
          <cell r="I19">
            <v>16</v>
          </cell>
          <cell r="J19" t="str">
            <v>Responsible</v>
          </cell>
          <cell r="K19" t="str">
            <v>1)ICB Place Committees/Leadership - oversight of risk and actions required to mitigate. 
2)QPIE meetings
3) ICB operational executive
4)Place Governance in place for SEND, jointly with LA</v>
          </cell>
          <cell r="L19" t="str">
            <v xml:space="preserve">Katy Calvin-Thomas
Barnsley Place Director
</v>
          </cell>
          <cell r="M19" t="str">
            <v>OE</v>
          </cell>
          <cell r="N19">
            <v>3</v>
          </cell>
          <cell r="O19">
            <v>4</v>
          </cell>
          <cell r="P19">
            <v>12</v>
          </cell>
          <cell r="Q19" t="str">
            <v>30/09/2024
16/01/2025
28/04/2025
20/06/2025
29/09/2025
05/01/2026</v>
          </cell>
          <cell r="R19">
            <v>46117</v>
          </cell>
          <cell r="S19" t="str">
            <v>not overdue</v>
          </cell>
          <cell r="T19" t="str">
            <v>Ailsa Leighton</v>
          </cell>
          <cell r="U19" t="str">
            <v>January 2026 - paper is awaited from the provider (DBHFT) regarding capacity within SALT services and next steps</v>
          </cell>
          <cell r="V19" t="str">
            <v>Quarterly</v>
          </cell>
          <cell r="W19" t="str">
            <v>ICB Place Committee</v>
          </cell>
          <cell r="X19" t="str">
            <v>Quality Performance Patient Involvement Experience (QPPIE)</v>
          </cell>
          <cell r="Y19">
            <v>45124</v>
          </cell>
          <cell r="Z19">
            <v>45108</v>
          </cell>
          <cell r="AA19">
            <v>709</v>
          </cell>
          <cell r="AB19" t="str">
            <v>14/10/24 - Split risks now applied on spreadsheet</v>
          </cell>
        </row>
        <row r="20">
          <cell r="A20" t="str">
            <v>SY107 - R</v>
          </cell>
          <cell r="B20" t="str">
            <v>All Places</v>
          </cell>
          <cell r="C20" t="str">
            <v>Children and Young People</v>
          </cell>
          <cell r="D20" t="str">
            <v>1,2,3,4,5,6,7,8</v>
          </cell>
          <cell r="E20" t="str">
            <v>BAF 1.1, BAF 1.4.3.1, BAF 1.4.3, BAF 1.6.1, BAF 1.6.3</v>
          </cell>
          <cell r="F20" t="str">
            <v>Community Paediatrics/Childrens Pathways - There is a risk that current commissioned services, pathways and capacity of the services in place to support people are not aligned to meet the increasing needs of the Children and Young People (CYP) population (Including Autim Spectrum Disorder (ASD) Assessments, Sleep Pathways, Enuresis/Continence Support Speech and Language Therapy (SALT) and other related services is insufficient to meet the increasing demand resulting in people not receiving the timely care and support they require by the most appropriate service in the most appropriate setting. This could result in poor patient experience and impact upon quality of care and support. This also increases the risk that the ICB and Local Authority are unable to meet their statutory duties in relation to Education Health Care Plan (EHCP)/Special Eduacational Needs and Disaibilities (SEND) and means that children and young people are not having their needs met appropriately</v>
          </cell>
          <cell r="G20">
            <v>4</v>
          </cell>
          <cell r="H20">
            <v>4</v>
          </cell>
          <cell r="I20">
            <v>16</v>
          </cell>
          <cell r="J20" t="str">
            <v>Responsible</v>
          </cell>
          <cell r="K20" t="str">
            <v>1)ICB Place Committees/Leadership - oversight of risk and actions required to mitigate. 
2)QPIE meetings 
3)ICB operational executive
4)Place Governance in place for SEND, jointly with LA
5) CYP community services review agreed with TRFT July 25</v>
          </cell>
          <cell r="L20" t="str">
            <v xml:space="preserve">Katy Calvin-Thomas
Barnsley Place Director
</v>
          </cell>
          <cell r="M20" t="str">
            <v>OE</v>
          </cell>
          <cell r="N20">
            <v>3</v>
          </cell>
          <cell r="O20">
            <v>4</v>
          </cell>
          <cell r="P20">
            <v>12</v>
          </cell>
          <cell r="Q20" t="str">
            <v>23/09/2024
23/12/2024
02/01/2025
01/04/2025
30/06/2025
06/10/2025
05/01/2026</v>
          </cell>
          <cell r="R20">
            <v>46117</v>
          </cell>
          <cell r="S20" t="str">
            <v>not overdue</v>
          </cell>
          <cell r="T20" t="str">
            <v>Claire Smith</v>
          </cell>
          <cell r="U20" t="str">
            <v xml:space="preserve">April 2025 - Action plan agreed and now working through actions. CDC have been given non recurrent funding to support the reduction of the waiting list for 0-5yrs over the next 18mths, this is being monitored at Place.           
July - an extension of the adult community services review has been agreed with TRFT to understand the funding/spend within services and agree an action plan to prioritise provision to meet demand. 
Oct - this work is ongoing 
January 2026 - financial analysis has concluded and meeting arranged with the provider to agree next steps </v>
          </cell>
          <cell r="V20" t="str">
            <v>Quarterly</v>
          </cell>
          <cell r="W20" t="str">
            <v>ICB Place Committee</v>
          </cell>
          <cell r="X20" t="str">
            <v>Quality Performance Patient Involvement Experience (QPPIE)</v>
          </cell>
          <cell r="Y20">
            <v>45124</v>
          </cell>
          <cell r="Z20">
            <v>45108</v>
          </cell>
          <cell r="AA20">
            <v>709</v>
          </cell>
          <cell r="AB20" t="str">
            <v xml:space="preserve">CQC and OFSTEAD inspection unannounced took place in October we have now had in public the outcome which is extremely positive. Inspectors expected in person week commencing 30th Sept. officers prepared well for this and have complied with all current requests for information, with a level of confidence in our ability to show the good work across our Place. We have also agreed through the SEND exec and Place Exec non recurrent funding  for the CDC neurodevelopment assessments of 0-5 yr olds provided by the Trust. funding agreed March and transferred - increase in resource to support waiting list reduction commenced and being monitored </v>
          </cell>
        </row>
        <row r="21">
          <cell r="A21" t="str">
            <v>SY107 - S</v>
          </cell>
          <cell r="B21" t="str">
            <v>All Places</v>
          </cell>
          <cell r="C21" t="str">
            <v>Children and Young People</v>
          </cell>
          <cell r="D21" t="str">
            <v>1,2,3,4,5,6,7,8</v>
          </cell>
          <cell r="E21" t="str">
            <v>BAF 1.1, BAF 1.4.3.1, BAF 1.4.3, BAF 1.6.1, BAF 1.6.3</v>
          </cell>
          <cell r="F21" t="str">
            <v>Community Paediatrics/Childrens Pathways - There is a risk that current commissioned services, pathways and capacity of the services in place to support people are not aligned to meet the increasing needs of the Children and Young People (CYP) population (Including Autim Spectrum Disorder (ASD) Assessments, Sleep Pathways, Enuresis/Continence Support Speech and Language Therapy (SALT) and other related services is insufficient to meet the increasing demand resulting in people not receiving the timely care and support they require by the most appropriate service in the most appropriate setting. This could result in poor patient experience and impact upon quality of care and support. This also increases the risk that the ICB and Local Authority are unable to meet their statutory duties in relation to Education Health Care Plan (EHCP)/Special Eduacational Needs and Disaibilities (SEND) and means that children and young people are not having their needs met appropriately</v>
          </cell>
          <cell r="G21">
            <v>4</v>
          </cell>
          <cell r="H21">
            <v>4</v>
          </cell>
          <cell r="I21">
            <v>16</v>
          </cell>
          <cell r="J21" t="str">
            <v>Responsible</v>
          </cell>
          <cell r="K21" t="str">
            <v>1)ICB Place Committees/Leadership - oversight of risk and actions required to mitigate. 
2)QPIE meetings
3) ICB operational executive
4)Place Governance in place for SEND, jointly with LA</v>
          </cell>
          <cell r="L21" t="str">
            <v xml:space="preserve">Katy Calvin-Thomas
Barnsley Place Director
</v>
          </cell>
          <cell r="M21" t="str">
            <v>OE</v>
          </cell>
          <cell r="N21">
            <v>3</v>
          </cell>
          <cell r="O21">
            <v>4</v>
          </cell>
          <cell r="P21">
            <v>12</v>
          </cell>
          <cell r="Q21" t="str">
            <v>26/09/2024
24/04/2025
16/09/2025</v>
          </cell>
          <cell r="R21">
            <v>46007</v>
          </cell>
          <cell r="S21" t="str">
            <v xml:space="preserve">78 </v>
          </cell>
          <cell r="T21" t="str">
            <v>Ian Atkinson</v>
          </cell>
          <cell r="U21" t="str">
            <v xml:space="preserve">September 2025 - Following the outcome of the Sheffield SEND Inspection conducted by CQC and Ofsted, the findings indicated systematic weakness in the area of SEND. The areas of required improvement include EHCP delivery, meeting the complex needs of individuals and communication. As a consequence of the inspection outcome and Independent Improvement Board has been established and a Priority Impact Action plan agreed, This will be monitored on a monthly basis.  </v>
          </cell>
          <cell r="V21" t="str">
            <v>Quarterly</v>
          </cell>
          <cell r="W21" t="str">
            <v>ICB Place Committee</v>
          </cell>
          <cell r="X21" t="str">
            <v>Quality Performance Patient Involvement Experience (QPPIE)</v>
          </cell>
          <cell r="Y21">
            <v>45124</v>
          </cell>
          <cell r="Z21">
            <v>45108</v>
          </cell>
          <cell r="AA21">
            <v>709</v>
          </cell>
          <cell r="AB21" t="str">
            <v>14/10/2024 - Split risks now in spreadsheet</v>
          </cell>
        </row>
        <row r="22">
          <cell r="A22" t="str">
            <v>SY108</v>
          </cell>
          <cell r="B22" t="str">
            <v>ICB</v>
          </cell>
          <cell r="C22" t="str">
            <v>Infection Control</v>
          </cell>
          <cell r="D22" t="str">
            <v>1,5,6,7,8</v>
          </cell>
          <cell r="E22" t="str">
            <v>1.1.1; 1.2</v>
          </cell>
          <cell r="F22" t="str">
            <v>Infection Prevention and Control - There is a risk that each Place will be over the NHSE set thresholds for case numbers of C Diff due to the increase in numbers both locally and nationally which may  result that the ICB will be over the C Diff threshold set by NHSE.</v>
          </cell>
          <cell r="G22">
            <v>5</v>
          </cell>
          <cell r="H22">
            <v>3</v>
          </cell>
          <cell r="I22">
            <v>15</v>
          </cell>
          <cell r="J22" t="str">
            <v>Accountable</v>
          </cell>
          <cell r="K22" t="str">
            <v xml:space="preserve">1)Each Trust has their own CDiff improvement / reduction plan which are monitored by NHS England and the ICB 
2)Assurance visits are undertaken by the ICB and NHS England at Partner organisations regarding their HCAI Figures
3)Patient Safety Incident Response Framework (PSIRF) has been implemented across all Trusts 
4) Patient safety workshop planned for the 5 March 2025 organised by the DoN between the ICB Patient Safety / IPC Leads and the Trust Patient Safety Leads took place and as a result the SY Patient Safety and Learning Outcomes Network (PSALON) has been established. This is attended by ICB and Trust PS Leads. The TOR outline the roles and responsibilities of the membership and the approach to oversight and assurance.
5) ICB report CDiff data to the NHSE Programme Board in line with requirements following declaration of national incident and recommendations / actions for Trusts / ICBs. </v>
          </cell>
          <cell r="L22" t="str">
            <v>Cathy Winfield
Chief Nursing Officer</v>
          </cell>
          <cell r="M22" t="str">
            <v>OE</v>
          </cell>
          <cell r="N22">
            <v>4</v>
          </cell>
          <cell r="O22">
            <v>3</v>
          </cell>
          <cell r="P22">
            <v>12</v>
          </cell>
          <cell r="Q22" t="str">
            <v>05/10/2023
26/02/2024
04/06/2024
23/09/2024
06/01/2025
07/01/2025
07/02/2025
14/03/2025
23/04/2025
02/07/2025
08/09/2025
21/10/2025
15/12/2025
16/03/2026</v>
          </cell>
          <cell r="R22">
            <v>46189</v>
          </cell>
          <cell r="S22" t="str">
            <v>Not overdue</v>
          </cell>
          <cell r="T22" t="str">
            <v>Jayne Sivakumar</v>
          </cell>
          <cell r="U22" t="str">
            <v>June 2025 - ICB Patient safety workshop taken place on the 5 March 2025, organised by the DoN for IPC and between the ICB Patient Safety / IPC Leads and the Trust Patient Safety Leads. Work is continuing towards an SY Framework for oversight which articulates the roles / responsibilities of the ICB in relation to PSIRF - Patient Safety and IPC. 
One of the ICB IP&amp;C Practitioners has retired which has reduced the specialist knowledge capacity within the ICB.  Workload and priorities has been reviewed.  
Following the March workshop the Patient Safety Leads/IP&amp;C Practitioners have set up a wider learning from events group (piloting in Sheffield in July) which will then be rolled out across SY with the aim of our provider colleagues picking this up as the ICB moves to its new role as strategic commissioners.
The 2025/26 IPC thresholds have been released which the ICB IP&amp;C Practitioners will review and work with provider IP&amp;C Teams and the ICB data team to ensure performance is articulated to the ICB Board.</v>
          </cell>
          <cell r="V22" t="str">
            <v>Quarterly</v>
          </cell>
          <cell r="W22" t="str">
            <v>Infection Control Leads Group</v>
          </cell>
          <cell r="X22" t="str">
            <v>Quality Performance Patient Involvement Experience (QPPIE)</v>
          </cell>
          <cell r="Y22">
            <v>45124</v>
          </cell>
          <cell r="Z22">
            <v>45108</v>
          </cell>
          <cell r="AA22">
            <v>709</v>
          </cell>
          <cell r="AB22" t="str">
            <v xml:space="preserve">NHSE reviewing the threshold setting process this may impact on the threshold levels and therefore the amount over for next year. there is also the quality and patient safety aspect. Some cases have not actions related to reduction the improvements are around the quality in diagnosing and treating. Collaborative work includes Medicine optimisation teams and working with trusts and primary care so many differing work streams around improvements taking place.  Documentation available: https://www.england.nhs.uk/wp-content/uploads/2021/08/PRN00150-NHS-Standard-Contract-202324-Minimising-Clostridioides-difficile-and-Gram-negative-bloodstream-infect.pdf    </v>
          </cell>
        </row>
        <row r="23">
          <cell r="A23" t="str">
            <v xml:space="preserve">SY113  </v>
          </cell>
          <cell r="B23" t="str">
            <v>ICB</v>
          </cell>
          <cell r="C23" t="str">
            <v>Elective Care</v>
          </cell>
          <cell r="D23" t="str">
            <v>1 4 5 8</v>
          </cell>
          <cell r="E23" t="str">
            <v>BAF 1.6.1, BAF 1.6.3, BAF 2.9, BAF 2.10, BAF 2.12, BAF 2.13, BAF 2.14</v>
          </cell>
          <cell r="F23" t="str">
            <v>Waiting Times - There is a risk of failing to deliver the elective reform targets (referral to treatment (RTT) waiting time targets, and reducing the proportion of the RTT waiting list over 52 weeks to less than 1% of the total) due to high demand for services, workforce shortages, pandemic and industrial action backlogs, which may affect patient access, patient safety and experience, and SY ICB reputation.</v>
          </cell>
          <cell r="G23">
            <v>4</v>
          </cell>
          <cell r="H23">
            <v>5</v>
          </cell>
          <cell r="I23">
            <v>20</v>
          </cell>
          <cell r="J23" t="str">
            <v>Accountable</v>
          </cell>
          <cell r="K23" t="str">
            <v xml:space="preserve">1)Implement South Yorkshire and Bassetlaw Acute Federation (SYBAF) Diagnostic &amp; Elective Recovery Plan 
2)Getting It Right First Time (GIRFT) improvement programme
3)NHSE Quality Improvement support                              
4)Implement the 'choice' agenda for patients at the point of referral
5)Clinical improvement programmes in 6 fragile specialties 
6)Paediatric innovator programme for children's specialties
7)Pathway reform, including referral criteria and Advice and Guidance with Primary &amp; Secondary Care Interface Group 
</v>
          </cell>
          <cell r="L23" t="str">
            <v>Sarah Perkins
Director of Transformation and Delivery</v>
          </cell>
          <cell r="M23" t="str">
            <v>Sarah Bayliss</v>
          </cell>
          <cell r="N23">
            <v>4</v>
          </cell>
          <cell r="O23">
            <v>3</v>
          </cell>
          <cell r="P23">
            <v>12</v>
          </cell>
          <cell r="Q23" t="str">
            <v>18/08/2023    11/09/2023           02/10/2023                            11/10/2023     10/11/2023 
15/12/2023
05/02/2024
18/03/2024
19/04/2024
24/07/2024
28/10/2024
04/11/2024
16/12/2024
20/12/2024
06/03/2025
09/06/2025
19/06/2025
22/09/2025
22/12/2025</v>
          </cell>
          <cell r="R23">
            <v>46103</v>
          </cell>
          <cell r="S23" t="str">
            <v xml:space="preserve">-11 </v>
          </cell>
          <cell r="T23" t="str">
            <v xml:space="preserve">Cathy Hassell  (Managing Director
South Yorkshire &amp; Bassetlaw Acute Federation) / Sarah Bayliss </v>
          </cell>
          <cell r="U23" t="str">
            <v>December 2025 - As providers and systems have successfully reduced the volume of patients waiting over 65 weeks, the national focus has shifted to the constitutional standard of referral to treatment within 18 weeks.   All providers are expected to deliver a 5% improvement on the Nov. 2024 baseline by the end of March 2026; this requires 4 of the 5 SYB Trusts to perform above the national target of 65%.  The system is still struggling to recover waiting lists since COVID and industrial action. 
SYBAF Diagnostic and Elective Recovery Plans are in place and Providers are supported in their improvement planning via the NHSE tiering system.  SYB providers are each working to implement OP and theatre improvement plans to increase productivity, supported by SYB collaborative working groups, GIRFT and NHSE Quality Improvement.  SYB mutual aid principles and SOP agreed. 
Provider representatives actively engaged to improve RTT performance and reduce the proportion waiting over 52 weeks.  Clinical improvement groups and the Primary &amp; Secondary Care Interface Group are working on pathway improvement including referral criteria and Advice and Guidance.  Independent sector including insourcing and outsourcing utilised to supplement NHS capacity when affordable.</v>
          </cell>
          <cell r="V23" t="str">
            <v>Quarterly</v>
          </cell>
          <cell r="W23" t="str">
            <v>ICB Place Committee</v>
          </cell>
          <cell r="X23" t="str">
            <v>Quality Performance Patient Involvement Experience (QPPIE)</v>
          </cell>
          <cell r="Y23">
            <v>45156</v>
          </cell>
          <cell r="Z23">
            <v>45139</v>
          </cell>
          <cell r="AA23">
            <v>685</v>
          </cell>
          <cell r="AB23" t="str">
            <v xml:space="preserve">Risk was discussed at the Acute Federation Board meeting which agreed that, given the current context, the post-mitigation score for the elective recovery risk can be raised to 16 (likelihood – 4 x impact x 4).  They were reassured that the mitigation plan was robust but that industrial action had taken its toll, workforce challenges, UEC pressures and cases of high clinical urgency continue to threaten our ability to eliminate 65 week waits.  
</v>
          </cell>
        </row>
        <row r="24">
          <cell r="A24" t="str">
            <v>SY124</v>
          </cell>
          <cell r="B24" t="str">
            <v>ICB</v>
          </cell>
          <cell r="C24" t="str">
            <v>Mental Health Services inc. LD/Autism/CAMHS</v>
          </cell>
          <cell r="D24" t="str">
            <v>1,3,5,6</v>
          </cell>
          <cell r="E24" t="str">
            <v>BAF 1.1.1D, BAF 1.1.1B, BAF 1.1.1R, BAF 1.1.1S, BAF 1.4.1, BAF 1.4.2, BAF 1.4.3.1V, BAF 1.4.3.1CYP, BAF  1.4.3.1B. BAF, 1.4.3.1D, BAF 1.4.3.1R, BAF 1.4.3.1S, BAF 2.10, BAF 3.11, BAF 4.4</v>
          </cell>
          <cell r="F24" t="str">
            <v>National Trajectory for Learning Disability and Autism (LDA) Inpatients - There is a risk that the ICB will not meet the national trajectory for 24/25 based on no more than 30 inpatients per 1 million population, this is due to an increased number of admissions across all 4 places and a number of inpatients who are stuck in hospital with no clear discharge plans, this is also resulting in increased out of area placements being required which is having a significant impact on budgets due to the high cost packages involved with the spot purchased placements</v>
          </cell>
          <cell r="G24">
            <v>4</v>
          </cell>
          <cell r="H24">
            <v>4</v>
          </cell>
          <cell r="I24">
            <v>16</v>
          </cell>
          <cell r="J24" t="str">
            <v>Accountable</v>
          </cell>
          <cell r="K24" t="str">
            <v>1)Regular Case Reviews with place and Programme Director to identify and unblock barriers to discharge
2)Expansion of Children and Young People Keyworker Programme – Prevent risk of admission, facilitate discharge promptly
3)Development of Safe Place/Crisis beds as part of the crisis response pathway to prevent admission and placement breakdown
4)Development of a Specialist Autism Team working alongside existing teams on complex cases
5)Links with both MHLDA Provider Collaboratives who are leading on some of the identified priorities which sit under the overarching national LDA programme
6)Expansion of Forensic Outreach Liaison Services
7)Delivery of SY LDA Housing Needs Assessment
8)Implementation of the Care Education Treatment Review and Dynamic Support Register Policy to ensure that regular independent reviews are taking place to enable discharge planning and implement ICB assurance and escalation processes to provide overall assurance that we are meeting the policy requirements</v>
          </cell>
          <cell r="L24" t="str">
            <v>Sarah Perkins
Director of Transformation and Delivery</v>
          </cell>
          <cell r="M24" t="str">
            <v>LDA Programme Risk</v>
          </cell>
          <cell r="N24">
            <v>3</v>
          </cell>
          <cell r="O24">
            <v>4</v>
          </cell>
          <cell r="P24">
            <v>12</v>
          </cell>
          <cell r="Q24" t="str">
            <v>12/12/2023
25/04/2024
15/07/2024
02/08/2024
28/10/2024
23/12/2024
07/02/2025
20/02/2025
07/04/2025
07/07/2025
17/07/2025
06/10/2025
19/01/2026</v>
          </cell>
          <cell r="R24">
            <v>46131</v>
          </cell>
          <cell r="S24" t="str">
            <v>Not overdue</v>
          </cell>
          <cell r="T24" t="str">
            <v>Kelly Glover</v>
          </cell>
          <cell r="U24" t="str">
            <v>July 25 - Safe Space site has been identified and offer is awaiting acceptance.  Mobilised all age keyworking service and working with several adult inpatients to facilitate discharge as well as embedding a more preventative approach in the community.</v>
          </cell>
          <cell r="V24" t="str">
            <v>Quarterly</v>
          </cell>
          <cell r="W24" t="str">
            <v>ICB Place Committee</v>
          </cell>
          <cell r="X24" t="str">
            <v>Quality Performance Patient Involvement Experience (QPPIE)</v>
          </cell>
          <cell r="Y24">
            <v>45215</v>
          </cell>
          <cell r="Z24">
            <v>45200</v>
          </cell>
          <cell r="AA24">
            <v>644</v>
          </cell>
          <cell r="AB24" t="str">
            <v>Update 17/7/25 - Not changed the risk ratings as whilst there has been progress with the mitigations, we will not see the benefit until later in the year and next year due to the mobilisation timeframe and the timeframes for discharge pathways being longer.
Update 3/2/25 - Reduced the residual risk likelihood to 3 as there has been an updated trajectory to achieve of 10% less than baseline in April 24, this will be a challenge but is more achievable.  All the same mitigations are in place with additional check ins for planned discharges in Q4 with all four places to ensure any issues/barriers are addressed promptly.</v>
          </cell>
        </row>
        <row r="25">
          <cell r="A25" t="str">
            <v>SY131</v>
          </cell>
          <cell r="B25" t="str">
            <v>ICB</v>
          </cell>
          <cell r="C25" t="str">
            <v>Infection Control</v>
          </cell>
          <cell r="D25" t="str">
            <v> </v>
          </cell>
          <cell r="E25" t="str">
            <v>BAF 1.1.1</v>
          </cell>
          <cell r="F25" t="str">
            <v>Infection Control - There is a risk of inconsistencies within information provided from UK Health Security Agency (UKHSA) and NHS England relating to data around Healthcare Assosciated Infections (HCAI) and Antimicrobial Resistence (AMR). This is due to different individuals throughout the system receiving different information. This may result in the inability to report accurate figures and detail and may impact on the ICB ability to identify decreasing performance of providers in a timely manner. (although we do tend to know in each place this information)</v>
          </cell>
          <cell r="G25">
            <v>5</v>
          </cell>
          <cell r="H25">
            <v>3</v>
          </cell>
          <cell r="I25">
            <v>15</v>
          </cell>
          <cell r="J25" t="str">
            <v xml:space="preserve">Responsible </v>
          </cell>
          <cell r="K25" t="str">
            <v>1)DoN for IPC and AMR lead monthly catch up with NHS England to review national reports to understand the hotspots and areas of concern.
2)The DoN for IPC has a monthly meeting with the ICB IPC leads to discuss and plan how to support those areas of concern
3)The ICB now leads on a SY IPC AMR Steering Group which involves ICB Colleagues, NHS England, UKHSA and Providers
4)The DoN for IPC continues to identify and strengthen links to colleagues across the national, regional and local IPC networks.
5)The IPC thresholds for 2025/26 have been released which will be worked through with providers and the ICB data team to ensure accurate reporting to the ICB Board.</v>
          </cell>
          <cell r="L25" t="str">
            <v>Cathy Winfield
Chief Nursing Officer</v>
          </cell>
          <cell r="M25" t="str">
            <v>QIPPE</v>
          </cell>
          <cell r="N25">
            <v>4</v>
          </cell>
          <cell r="O25">
            <v>3</v>
          </cell>
          <cell r="P25">
            <v>12</v>
          </cell>
          <cell r="Q25" t="str">
            <v>28/03/2024
04/06/2024
02/07/2024
05/08/2024
23/09/2024
30/10/2024
05/12/2024
06/01/2025
07/01/2025
07/02/2025
13/03/2025
23/04/2025
10/06/2025
08/09/2025
15/12/2025
16/03/2026</v>
          </cell>
          <cell r="R25">
            <v>46189</v>
          </cell>
          <cell r="S25" t="str">
            <v>Not overdue</v>
          </cell>
          <cell r="T25" t="str">
            <v>Jayne Sivakumar</v>
          </cell>
          <cell r="U25" t="str">
            <v>June 2025 - Gradual progress continues to develop the metrics for IPC and HCAI so that they are are accurately recorded for the ICB Board. The IPC and AMR Task and Finish groups are still being currently set up, though may face delays due to capacity.</v>
          </cell>
          <cell r="V25" t="str">
            <v>Quarterly</v>
          </cell>
          <cell r="W25" t="str">
            <v>Infection Control Leads Group</v>
          </cell>
          <cell r="X25" t="str">
            <v>Quality Performance Patient Involvement Experience (QPPIE)</v>
          </cell>
          <cell r="Y25">
            <v>44985</v>
          </cell>
          <cell r="Z25">
            <v>44958</v>
          </cell>
          <cell r="AA25">
            <v>808</v>
          </cell>
          <cell r="AB25" t="str">
            <v>Risk discussed at QPPIE. Ruth Nutbrown queried with Alun Windle for fuller details</v>
          </cell>
        </row>
        <row r="26">
          <cell r="A26" t="str">
            <v>SY134</v>
          </cell>
          <cell r="B26" t="str">
            <v>ICB</v>
          </cell>
          <cell r="C26" t="str">
            <v>Quality</v>
          </cell>
          <cell r="D26" t="str">
            <v>1</v>
          </cell>
          <cell r="E26" t="str">
            <v>BAF 1.1, BAF 1.2</v>
          </cell>
          <cell r="F26" t="str">
            <v xml:space="preserve">There is a risk of the SY ICB CETR Panel Membership failing to meet NHSE Policy Requirements due to local nominations not being put forward which will result in non-compliance with NHSE policy.  </v>
          </cell>
          <cell r="G26">
            <v>4</v>
          </cell>
          <cell r="H26">
            <v>3</v>
          </cell>
          <cell r="I26">
            <v>12</v>
          </cell>
          <cell r="J26" t="str">
            <v>Responsible</v>
          </cell>
          <cell r="K26" t="str">
            <v>SY ICB approach to manage DSR/CETR</v>
          </cell>
          <cell r="L26" t="str">
            <v>Cathy Winfield
Chief Nursing Officer</v>
          </cell>
          <cell r="M26" t="str">
            <v>Raised by Alun Windle, Chief Nurse and chair of SY ICB CETR Assurance &amp; Oversight Panel</v>
          </cell>
          <cell r="N26">
            <v>4</v>
          </cell>
          <cell r="O26">
            <v>3</v>
          </cell>
          <cell r="P26">
            <v>12</v>
          </cell>
          <cell r="Q26" t="str">
            <v>22/08/2024
16/09/2024
31/10/2024
03/02/2025
20/05/2025
21/07/2025
08/09/2025
15/12/2025
19/01/2026</v>
          </cell>
          <cell r="R26">
            <v>46131</v>
          </cell>
          <cell r="S26" t="str">
            <v>Not overdue</v>
          </cell>
          <cell r="T26" t="str">
            <v>Alun Windle / Anita Winter</v>
          </cell>
          <cell r="U26" t="str">
            <v>May 2025 - Whilst the panels have commenced, further work is required to ensure we have the right membership. We are therefore, looking to identify panel representatives in line with core membership requirements and are asking if partners could nominate appropriate panel members to support 31 August 2025.  
07/07/2025 - We continue to look to identify panel representatives in line with core membership requirements and are asking if partners could nominate appropriate panel members to support by 31 August 2025.  NHS England (Midlands) have commissioned West Midlands ADASS to undertake a national review of ICS C(E)TR Oversight Panels.  In order to gather this information they have arranged a series of anonymised surveys and online discussion groups, as well as the opportunity to request 1:1 discussions and focus groups.  There is a 3 week window to complete the surveys (ending 27th June 2025) in order to deliver the final report by October.
06/10/25 Additional SEND representation identified to attend.  September SY CETR Panel agreed that it would not be appropriate to continue to try and identify further members representation and advised to wait for the new SY ICB model to be confirmed.  
23/03/26 Panels have not taken place due to case manager capacity in preparing cases to present.</v>
          </cell>
          <cell r="V26" t="str">
            <v>Quarterly</v>
          </cell>
          <cell r="W26" t="str">
            <v>ICS Assurance and Oversight Panel</v>
          </cell>
          <cell r="X26" t="str">
            <v>Quality Performance Patient Involvement Experience (QPPIE)</v>
          </cell>
          <cell r="Y26">
            <v>45526</v>
          </cell>
          <cell r="Z26">
            <v>45505</v>
          </cell>
          <cell r="AA26">
            <v>421</v>
          </cell>
          <cell r="AB26" t="str">
            <v>The ICS Assurance &amp; Oversight Panels overall aim is to coordinate and support activity (and where necessary formal intervention) so that implementation, outcomes and actions of C(E)TRs are targeted where needed.   The panel reviews the escalated C(E)TR report and actions, assure themselves that the person is safe and well, and consider if any further action is needed to support the person’s progress or discharge. The panel will also consider all quality assurance intelligence regarding the commissioner service, such as host commissioner reports and safeguarding information.  
The panel was established in February 2024 but the membership from across the ICS is not fully compliant with policy. 
03/02/25 Work continues to identify appropriate panel represneation.</v>
          </cell>
        </row>
        <row r="27">
          <cell r="A27" t="str">
            <v>SY136</v>
          </cell>
          <cell r="B27" t="str">
            <v>All Places</v>
          </cell>
          <cell r="C27" t="str">
            <v>Infection Control</v>
          </cell>
          <cell r="D27" t="str">
            <v>2, 4, 5, 6, 7, 8</v>
          </cell>
          <cell r="F27" t="str">
            <v xml:space="preserve">There are potential risks arising from Primary Care staff not wearing FFP3 FIT tested masks for high consequence infectious diseases (HCID), due to accessibility constraints, cost implications and training needs which may result in compromised employee safety / Compromised patient safety / Risk of spread of infection / Reputational damage to the GP / ICB (as Commissioner of GP services) / Risk of litigation / Risk of media exposure / Potential prosecution for non-compliance with e.g. The Health and Safety at Work Act 1974
</v>
          </cell>
          <cell r="G27">
            <v>4</v>
          </cell>
          <cell r="H27">
            <v>3</v>
          </cell>
          <cell r="I27">
            <v>12</v>
          </cell>
          <cell r="J27" t="str">
            <v>Responsible</v>
          </cell>
          <cell r="K27" t="str">
            <v xml:space="preserve">1)A SYICB Outbreak Management Framework has been developed and approved by the Exec Leads. The document is currently being socialised with key stakeholders. An additional section outlining governance arrangements is in development. The Framework includes guidance to ICB on-call managers in the event of an outbreak within and out of business hours.
2) GPs have a legal duty to provide FFP3 masks (where indicated in UKHSA instructions) under the Health and Safety at Work at 1974. There is also a contractual requirement under the NHS Standard Contract 2025/26 Service Conditions Version 2, September 2025 SC21 (P34). A briefing note has been drafted to remind GPs of this and will be submitted for Exec approval before sending via ICB Central Comms.
3) Attendance at Health Protection Board (HPB) meetings 
4) Place Outbreak Plans
5) ICB and Partner communication pathways following communication from NHS E / UKHSA re outbreak
6) IPC Lead monthly meetings
7) IPC Links established within Partner Agencies across the System
</v>
          </cell>
          <cell r="L27" t="str">
            <v>Cathy Winfield
Chief Nursing Officer</v>
          </cell>
          <cell r="M27" t="str">
            <v>SYICB AMR/IPC Steering Group and then escalated to QIPEE</v>
          </cell>
          <cell r="N27">
            <v>4</v>
          </cell>
          <cell r="O27">
            <v>3</v>
          </cell>
          <cell r="P27">
            <v>12</v>
          </cell>
          <cell r="Q27" t="str">
            <v>16/12/2024
06/01/2025
07/01/2025
07/02/2025
13/03/2025
23/04/2025
10/06/2025
08/09/2025
21/10/2025
15/12/2026
16/03/2026</v>
          </cell>
          <cell r="R27">
            <v>46189</v>
          </cell>
          <cell r="S27" t="str">
            <v>not overdue</v>
          </cell>
          <cell r="T27" t="str">
            <v>Jayne Sivakumar</v>
          </cell>
          <cell r="U27" t="str">
            <v>June 2025 - The SYICB (internal group) has now met with actions to develop the outbreak management framework.  EPRR lead, IP&amp;C leads and the Associate Director of Nursing for Patient Safety and IPC leading on this.
December 2025 - EPRR lead, IP&amp;C leads and the Associate Director of Nursing for Patient Safety and IPC have written the outbreak management framework.</v>
          </cell>
          <cell r="V27" t="str">
            <v>Quarterly</v>
          </cell>
          <cell r="W27" t="str">
            <v xml:space="preserve">SYICB AMR/IPC Steering Group </v>
          </cell>
          <cell r="X27" t="str">
            <v>Quality Performance Patient Involvement Experience (QPPIE)</v>
          </cell>
          <cell r="Y27">
            <v>45642</v>
          </cell>
          <cell r="Z27">
            <v>45627</v>
          </cell>
          <cell r="AA27">
            <v>339</v>
          </cell>
          <cell r="AB27" t="str">
            <v>The UKHSA has issued guidance to Primary Care (PC)/ General Practice (GP) on the Infection Prevention and Control (IPC) measures required within GP settings for High Consequence Infectious Diseases (HCIDs) including Measles and Clade I MPXV (known as Monkey Pox). One of the measures is a specific instruction on the type of Respiratory Personal Protective  Equipment that is to be used for suspected cases, namely that of an FFP3 respirator should be worn by anyone about to enter a room with a suspected patient. In September 2024 NHSE issued action cards in relation to Mpox Clade1 which states that fit  tested FFP3 masks are required for use by clinical staff for any suspected cases. This  applies to all health care services including Primary Care. This applies to all HCIDs in all settings</v>
          </cell>
        </row>
        <row r="28">
          <cell r="A28" t="str">
            <v>SY140</v>
          </cell>
          <cell r="B28" t="str">
            <v>Barnsley / Rotherham</v>
          </cell>
          <cell r="C28" t="str">
            <v>Midwifery</v>
          </cell>
          <cell r="D28" t="str">
            <v>2, 5, 6, 7, 8</v>
          </cell>
          <cell r="E28" t="str">
            <v>BAF 2.8</v>
          </cell>
          <cell r="F28" t="str">
            <v>Smoking in Pregnancy - There is a risk to delivery of smoking in pregnancy services due to reduced funding from Local Authorities in Rotherham and Barnsley, which may negatively impact on outcomes for women and babies</v>
          </cell>
          <cell r="G28">
            <v>4</v>
          </cell>
          <cell r="H28">
            <v>4</v>
          </cell>
          <cell r="I28">
            <v>16</v>
          </cell>
          <cell r="J28" t="str">
            <v>Consulted</v>
          </cell>
          <cell r="K28" t="str">
            <v xml:space="preserve">1)Escalation of concerns to Barnsley Council
2)Escalation of Concerns to Rotherham Council, with no resolution
3)Escalation through Barnsley and Rotherham Place
</v>
          </cell>
          <cell r="L28" t="str">
            <v>Cathy Winfield</v>
          </cell>
          <cell r="M28" t="str">
            <v>LMNS Risk Register - RO27</v>
          </cell>
          <cell r="N28">
            <v>4</v>
          </cell>
          <cell r="O28">
            <v>4</v>
          </cell>
          <cell r="P28">
            <v>16</v>
          </cell>
          <cell r="Q28" t="str">
            <v>31/03/2025
20/05/2025
16/12/2025</v>
          </cell>
          <cell r="R28">
            <v>46038</v>
          </cell>
          <cell r="S28" t="str">
            <v xml:space="preserve">55 </v>
          </cell>
          <cell r="T28" t="str">
            <v>Jodie Deadman</v>
          </cell>
          <cell r="U28" t="str">
            <v>December 2025 - Funding removed by LA from Rotherham Smoking In Pregnancy (SIP) Programme. No mitigations currently. Potential resolution in funding from Barnsley LA, concerns escalated</v>
          </cell>
          <cell r="V28" t="str">
            <v>Monthly</v>
          </cell>
          <cell r="W28" t="str">
            <v>ICB LMNS Board</v>
          </cell>
          <cell r="X28" t="str">
            <v>Quality Performance Patient Involvement Experience (QPPIE)</v>
          </cell>
          <cell r="Y28">
            <v>45747</v>
          </cell>
          <cell r="Z28">
            <v>45717</v>
          </cell>
          <cell r="AA28">
            <v>264</v>
          </cell>
        </row>
        <row r="29">
          <cell r="A29" t="str">
            <v>SY137</v>
          </cell>
          <cell r="B29" t="str">
            <v>All Places</v>
          </cell>
          <cell r="C29" t="str">
            <v>Digital Transformation</v>
          </cell>
          <cell r="D29" t="str">
            <v>1, 2, 3, 5, 6, 7, 8</v>
          </cell>
          <cell r="E29" t="str">
            <v>BAF 3.1; BAF 3.7; BAF 3.9; BAF 3.10; BAF 4.4;</v>
          </cell>
          <cell r="F29" t="str">
            <v xml:space="preserve">Digital Transformation funding - There is a risk to longer-term funding due to changes in nationally available funding leading to the ICB being responsible for ongoing revenue costs (c £1m) and hence an inability to invest in the record and subsequent impact on health and care delivery.
</v>
          </cell>
          <cell r="G29">
            <v>4</v>
          </cell>
          <cell r="H29">
            <v>3</v>
          </cell>
          <cell r="I29">
            <v>12</v>
          </cell>
          <cell r="J29" t="str">
            <v>Responsible</v>
          </cell>
          <cell r="K29" t="str">
            <v>1)A sustainable financial model will need to be devised to ensure the Shared Care Record (SCR) can continue to improve in step with evolving care requirements.
2) Need for successful bid for funding through NHS England (pending outcome) - is there an outcome?
3) Notice has been served on the Doncaster Care Record to reduce costs and support funding of the system-wide record.
4) A clear costed plan will need to be developed to better understand financial impacts.</v>
          </cell>
          <cell r="L29" t="str">
            <v>Kieran Baker  
Chief Digital and Information Officer</v>
          </cell>
          <cell r="M29" t="str">
            <v>ICB Digital, Data and Technology Portfolio Update (at ARC on 17.12.24)</v>
          </cell>
          <cell r="N29">
            <v>4</v>
          </cell>
          <cell r="O29">
            <v>3</v>
          </cell>
          <cell r="P29">
            <v>12</v>
          </cell>
          <cell r="Q29" t="str">
            <v>21/01/2025
13/03/2025
07/07/2025
06/01/2026</v>
          </cell>
          <cell r="R29">
            <v>46118</v>
          </cell>
          <cell r="S29" t="str">
            <v>Not overdue</v>
          </cell>
          <cell r="T29" t="str">
            <v>Katie Dowson</v>
          </cell>
          <cell r="U29" t="str">
            <v>05/01/26 - KB is still having discussions regarding the partnership agreement costs with the CIO at Humber NHS FT. Discussions around a future budget for the shared care record programme will take place in January and Feb - our CFO has advised "We’ll button this down as part of the “Zero Based Budget” review in January and February". - The ShCR Programme team will be preparing a costs breakdown to support this discussion.</v>
          </cell>
          <cell r="V29" t="str">
            <v>Quarterly</v>
          </cell>
          <cell r="W29" t="str">
            <v>Audit and Risk</v>
          </cell>
          <cell r="X29" t="str">
            <v>Finance &amp; Investment Committee</v>
          </cell>
          <cell r="Y29">
            <v>45678</v>
          </cell>
          <cell r="Z29">
            <v>45658</v>
          </cell>
          <cell r="AA29">
            <v>313</v>
          </cell>
        </row>
        <row r="30">
          <cell r="A30" t="str">
            <v>SY143</v>
          </cell>
          <cell r="B30" t="str">
            <v>Transformation</v>
          </cell>
          <cell r="C30" t="str">
            <v>ICB</v>
          </cell>
          <cell r="D30" t="str">
            <v>1, 2, 3, 4, 5, 6, 7, 8</v>
          </cell>
          <cell r="F30" t="str">
            <v>There is a risk that the delivery of transformation workstreams may be impacted due to reduced capacity across Places, resulting in non-delivery of planned service improvements, population health outcomes, and contributing to a potential funding gap.</v>
          </cell>
          <cell r="G30">
            <v>4</v>
          </cell>
          <cell r="H30">
            <v>4</v>
          </cell>
          <cell r="I30">
            <v>16</v>
          </cell>
          <cell r="J30" t="str">
            <v>Accountable</v>
          </cell>
          <cell r="K30" t="str">
            <v>The Executive Directors will have oversight of their transformation teams and will prioritise / reallocate transformation work accordingly</v>
          </cell>
          <cell r="L30" t="str">
            <v>Lee Outhwaite 
Chief Finance Officer</v>
          </cell>
          <cell r="M30" t="str">
            <v>QPIE</v>
          </cell>
          <cell r="N30">
            <v>4</v>
          </cell>
          <cell r="O30">
            <v>3</v>
          </cell>
          <cell r="P30">
            <v>12</v>
          </cell>
          <cell r="Q30" t="str">
            <v>07/10/2025
13/01/2026</v>
          </cell>
          <cell r="R30">
            <v>46125</v>
          </cell>
          <cell r="S30" t="str">
            <v>not overdue</v>
          </cell>
          <cell r="T30" t="str">
            <v>Jade Rose</v>
          </cell>
          <cell r="U30" t="str">
            <v>13/01/2026 - Update provided by Corporate Risk Team. Added to Corporate Risk Register following internal team discssion</v>
          </cell>
          <cell r="V30" t="str">
            <v>Quarterly</v>
          </cell>
          <cell r="W30" t="str">
            <v>Turnaround Committee</v>
          </cell>
          <cell r="X30" t="str">
            <v>Quality Performance Patient Involvement Experience (QPPIE)</v>
          </cell>
          <cell r="Y30">
            <v>46035</v>
          </cell>
          <cell r="Z30">
            <v>46023</v>
          </cell>
          <cell r="AA30">
            <v>58</v>
          </cell>
          <cell r="AB30" t="str">
            <v xml:space="preserve">January 2026 -
Action from QPIE on 2 September 2025. 
Followed up via email with JR (Person responsible for update) considered that risk should be split across multiple programmes. Wrote out to Deputy Directors, Chief Nurse Officer, Chief Finance Officer and Chief Medical Officer. Chief Finance Officer agreed to host as one risk, and would lead on this with support of JR. Further details sought between October 2025 and January 2026. No response received. Decision made by Corporate Risk team to include on CRR. </v>
          </cell>
        </row>
        <row r="31">
          <cell r="A31" t="str">
            <v xml:space="preserve">SY016
</v>
          </cell>
          <cell r="B31" t="str">
            <v>ICB</v>
          </cell>
          <cell r="C31" t="str">
            <v>Finance inc Fraud</v>
          </cell>
          <cell r="D31" t="str">
            <v>1,3,5,6</v>
          </cell>
          <cell r="E31" t="str">
            <v>BAF 1.3</v>
          </cell>
          <cell r="F31" t="str">
            <v>Fraud - There is a risk that Continuing Healthcare (CHC) / Personal Health Budget (PHB) funds provided for patient care are intentionally diverted by patients or their carers for other means not care related due to fraudulent activity resulting in loss of revenue for the ICB and lack of care for patients.</v>
          </cell>
          <cell r="G31">
            <v>3</v>
          </cell>
          <cell r="H31">
            <v>4</v>
          </cell>
          <cell r="I31">
            <v>12</v>
          </cell>
          <cell r="J31" t="str">
            <v>Responsible</v>
          </cell>
          <cell r="K31" t="str">
            <v>1)Robust policies for CHC and PHB.
2)Broadcare used where there are checks against costs.
3)PHBs are regularly audited
4)Where a risk may be evidence, advice would be requested from the Local Counter Fraud Officer.
5)All PHBs are signed and authorised 
6) PHB are audited</v>
          </cell>
          <cell r="L31" t="str">
            <v>Lee Outhwaite 
Chief Finance Officer</v>
          </cell>
          <cell r="M31" t="str">
            <v>Previous CCG Risk Management Processes</v>
          </cell>
          <cell r="N31">
            <v>3</v>
          </cell>
          <cell r="O31">
            <v>3</v>
          </cell>
          <cell r="P31">
            <v>9</v>
          </cell>
          <cell r="Q31" t="str">
            <v>18/11/2022
02/03/2023
23/03/2023                                                           19/04/2023                         02/05/2023               16/05/2023                        15/06/2023                    06/07/2023     13/10/2023   01/11/2023  01/12/2023   03/01/2024
01/03/2024
22/07/2024
01/08/2024
09/09/2024
06/01/2025
06/02/2025
22/06/2025
30/07/2025
10/09/2025
13/10/2025
07/01/2026</v>
          </cell>
          <cell r="R31">
            <v>46119</v>
          </cell>
          <cell r="S31" t="str">
            <v>Not overdue</v>
          </cell>
          <cell r="T31" t="str">
            <v xml:space="preserve">Hayley Tingle (Leading on CHC Budget)
</v>
          </cell>
          <cell r="U31" t="str">
            <v>July 2025 - All four places:  Audits undertaken identified specific risks in relation to PHB.  Developing action plan in conjunction with Local Authority (LA) to ensure robust system and processes are in place to mitigate. This is part of our regular meetings with LA . 
Looking to bring this in house within the ICB as the finance function develops its roles.
September 2025  , This continues to be on the CHC PID workplan for 25/26 although a refresh / review of the PID is currently taking place following the Model Blue Print for the ICB and where this function may sit in future , for assurance we continue to have regular audits for both in house and LA commissioned services to ensure no significant balances are built up by patients 
October 2025 - No further updates, this is being taken forward within the PID</v>
          </cell>
          <cell r="V31" t="str">
            <v>Quarterly</v>
          </cell>
          <cell r="W31" t="str">
            <v>ICB Place Committee</v>
          </cell>
          <cell r="X31" t="str">
            <v>Audit and Risk Committee</v>
          </cell>
          <cell r="Y31">
            <v>44883</v>
          </cell>
          <cell r="Z31">
            <v>44866</v>
          </cell>
          <cell r="AA31">
            <v>880</v>
          </cell>
          <cell r="AB31" t="str">
            <v>no further updates , continue to explore in house option which takes the audit function away from LA . This is part of the CHC / Individual Placement PID which aims to ensure consistency of approach across the 4 places . The move away from LA will be part of this work . Meanwhile assurances and monitoring are obtained from LA to mitigate any risk of balances being accrued and action taken .
6/02/25 No further updates , this forms part of the PID work plan in 25/26</v>
          </cell>
        </row>
        <row r="32">
          <cell r="A32" t="str">
            <v>SY044 - B</v>
          </cell>
          <cell r="B32" t="str">
            <v>All Places</v>
          </cell>
          <cell r="C32" t="str">
            <v>Data</v>
          </cell>
          <cell r="D32" t="str">
            <v>1,5,6,8</v>
          </cell>
          <cell r="E32" t="str">
            <v xml:space="preserve">BAF 1.1.1, BAF 1.7, BAF 2.1, BAF 2,7,1, BAF 2.10, BAF 2.12, BAF 4.3 </v>
          </cell>
          <cell r="F32" t="str">
            <v xml:space="preserve">Tackling Health Inequalities – the impact of the Covid-19 pandemic has been far reaching, and the social, economic and health impacts on each of our Place populations has created a challenge on health inequality and improving outcomes. Our system must be focussed on tackling health inequalities and ensuring we are informed by high quality data that is owned across partners for us to focus our priorities on areas of greatest need and impact for the population. </v>
          </cell>
          <cell r="G32">
            <v>5</v>
          </cell>
          <cell r="H32">
            <v>5</v>
          </cell>
          <cell r="I32">
            <v>25</v>
          </cell>
          <cell r="J32" t="str">
            <v>Accountable</v>
          </cell>
          <cell r="K32" t="str">
            <v xml:space="preserve">1)Established Integrated Care Partnership and agreed strategy - this is how we will work together as a system to reduce health inequalities.  Developing a joint NHS forward plan will have focus on how we work with others to reduce health inequalities in NHS.  4 health and care place partnership plans developing in places have a focus on health inequalities working with Local Authorities, voluntary sector and others.
2)Integrated Care Board developed  purpose and ambition one of the ambition is  to tackle health inequalities.
3)The Barnsley Place Committee / Partnership Board has adopted a joint approach to tackling inequalities and approved the development of a community development approach to tackling Health Inequalities. 
4)The Barnsley Health Equity Group is in place to support the partnership in its work to tackle inequalities. The Health Equity Group reports to the Place Partnership Delivery Group
</v>
          </cell>
          <cell r="L32" t="str">
            <v xml:space="preserve">Katy Calvin-Thomas
Barnsley Place Director
</v>
          </cell>
          <cell r="M32" t="str">
            <v xml:space="preserve">CCG Due Diligence Assurance Letters </v>
          </cell>
          <cell r="N32">
            <v>3</v>
          </cell>
          <cell r="O32">
            <v>3</v>
          </cell>
          <cell r="P32">
            <v>9</v>
          </cell>
          <cell r="Q32" t="str">
            <v>25/09/2024
04/11/2024
17/03/2025
19/05/2025
30/05/2025
08/09/2025
12/12/2025
16/03/2026</v>
          </cell>
          <cell r="R32">
            <v>46189</v>
          </cell>
          <cell r="S32" t="str">
            <v>Not overdue</v>
          </cell>
          <cell r="T32" t="str">
            <v xml:space="preserve">Jamie Wike
</v>
          </cell>
          <cell r="U32" t="str">
            <v xml:space="preserve">September 2025 - Programme Manager in place leading the partnership approach to tacking health inequalities.  The programme will focus on working with local communities across our 6 neighbourhoods to identify solutions to address some of the issues impacting those communities together with VCSE partners. Neighbourhood Partnerships have been established and a new community connector role established in each neighbourhood to work with local communities
</v>
          </cell>
          <cell r="V32" t="str">
            <v>Quarterly</v>
          </cell>
          <cell r="W32" t="str">
            <v>ICB Place Committee</v>
          </cell>
          <cell r="X32" t="str">
            <v>Quality Performance Patient Involvement Experience (QPPIE)</v>
          </cell>
          <cell r="Y32">
            <v>44900</v>
          </cell>
          <cell r="Z32">
            <v>44896</v>
          </cell>
          <cell r="AA32">
            <v>869</v>
          </cell>
          <cell r="AB32" t="str">
            <v>5/12/24 - Confirmation from David Crichton that Place Directors accepted the ownership of the risk</v>
          </cell>
        </row>
        <row r="33">
          <cell r="A33" t="str">
            <v>SY044 - D</v>
          </cell>
          <cell r="B33" t="str">
            <v>All Places</v>
          </cell>
          <cell r="C33" t="str">
            <v>Data</v>
          </cell>
          <cell r="D33" t="str">
            <v>1,5,6,8</v>
          </cell>
          <cell r="E33" t="str">
            <v xml:space="preserve">BAF 1.1.1, BAF 1.7, BAF 2.1, BAF 2,7,1, BAF 2.10, BAF 2.12, BAF 4.3 </v>
          </cell>
          <cell r="F33" t="str">
            <v xml:space="preserve">Tackling Health Inequalities – the impact of the Covid-19 pandemic has been far reaching, and the social, economic and health impacts on each of our Place populations has created a challenge on health inequality and improving outcomes. Our system must be focussed on tackling health inequalities and ensuring we are informed by high quality data that is owned across partners for us to focus our priorities on areas of greatest need and impact for the population. </v>
          </cell>
          <cell r="G33">
            <v>5</v>
          </cell>
          <cell r="H33">
            <v>5</v>
          </cell>
          <cell r="I33">
            <v>25</v>
          </cell>
          <cell r="J33" t="str">
            <v>Accountable</v>
          </cell>
          <cell r="K33" t="str">
            <v xml:space="preserve">1)Established Integrated Care Partnership and agreed strategy - this is how we will work together as a system to reduce health inequalities.  
2)Developing a joint NHS forward plan will have focus on how we work with others to reduce health inequalities in NHS.  
3) 4 health and care place partnership plans developing in places have a focus on health inequalities working with Local Authorities, voluntary sector and others.
4) Integrated Care Board developed  purpose and ambition one of the ambition is  to tackle health inequalities. </v>
          </cell>
          <cell r="L33" t="str">
            <v>Anthony Fitzgerald 
Doncaster Place Director</v>
          </cell>
          <cell r="M33" t="str">
            <v xml:space="preserve">CCG Due Diligence Assurance Letters </v>
          </cell>
          <cell r="N33">
            <v>3</v>
          </cell>
          <cell r="O33">
            <v>3</v>
          </cell>
          <cell r="P33">
            <v>9</v>
          </cell>
          <cell r="Q33" t="str">
            <v>30/09/2024
16/01/2025
28/04/2025
04/08/2025
15/11/2025
25/02/2026</v>
          </cell>
          <cell r="R33">
            <v>46167</v>
          </cell>
          <cell r="S33" t="str">
            <v>not overdue</v>
          </cell>
          <cell r="T33" t="str">
            <v>Ailsa Leighton</v>
          </cell>
          <cell r="U33" t="str">
            <v xml:space="preserve">November 2025: The Neighbourhood Health Implementation Programme application was successful and Doncaster is forging ahead as one of the national pilots.  Work is underway with significant commitment from all partners, both statutory and VCSE to develop our neighbourhood model which will actively address health inequalities, tailored in each PCN footprint.  This complements the existing work underway through Thrive.
February 2026 - significant work continues in the development of our neighbourhood working approach- practices have been identified that will prototype the approach, with population cohorts being largely identified.  Specific work to reduce health inequalities within our population also continues, with a focus on women's health, veterans and our GRT communities in particular </v>
          </cell>
          <cell r="V33" t="str">
            <v>Quarterly</v>
          </cell>
          <cell r="W33" t="str">
            <v>ICB Place Committee</v>
          </cell>
          <cell r="X33" t="str">
            <v>Quality Performance Patient Involvement Experience (QPPIE)</v>
          </cell>
          <cell r="Y33">
            <v>44900</v>
          </cell>
          <cell r="Z33">
            <v>44896</v>
          </cell>
          <cell r="AA33">
            <v>869</v>
          </cell>
          <cell r="AB33" t="str">
            <v>Work on the 1 Doncaster Plan and Thrive continues
5/12/24 - Confirmation from David Crichton that Place Directors accepted the ownership of the risk</v>
          </cell>
        </row>
        <row r="34">
          <cell r="A34" t="str">
            <v>SY044 - R</v>
          </cell>
          <cell r="B34" t="str">
            <v>All Places</v>
          </cell>
          <cell r="C34" t="str">
            <v>Data</v>
          </cell>
          <cell r="D34" t="str">
            <v>1,5,6,8</v>
          </cell>
          <cell r="E34" t="str">
            <v xml:space="preserve">BAF 1.1.1, BAF 1.7, BAF 2.1, BAF 2,7,1, BAF 2.10, BAF 2.12, BAF 4.3 </v>
          </cell>
          <cell r="F34" t="str">
            <v xml:space="preserve">Tackling Health Inequalities – the impact of the Covid-19 pandemic has been far reaching, and the social, economic and health impacts on each of our Place populations has created a challenge on health inequality and improving outcomes. Our system must be focussed on tackling health inequalities and ensuring we are informed by high quality data that is owned across partners for us to focus our priorities on areas of greatest need and impact for the population. </v>
          </cell>
          <cell r="G34">
            <v>5</v>
          </cell>
          <cell r="H34">
            <v>5</v>
          </cell>
          <cell r="I34">
            <v>25</v>
          </cell>
          <cell r="J34" t="str">
            <v>Accountable</v>
          </cell>
          <cell r="K34" t="str">
            <v xml:space="preserve">1) Established Integrated Care Partnership and agreed strategy - this is how we will work together as a system to reduce health inequalities.  
2)Developing a joint NHS forward plan will have focus on how we work with others to reduce health inequalities in NHS. 
3) 4 health and care place partnership plans developing in places have a focus on health inequalities working with Local Authorities, voluntary sector and others.
4) Integrated Care Board developed  purpose and ambition one of the ambition is  to tackle health inequalities. </v>
          </cell>
          <cell r="L34" t="str">
            <v>Anthony Fitzgerald 
Doncaster / Rotherham Place Director</v>
          </cell>
          <cell r="M34" t="str">
            <v xml:space="preserve">CCG Due Diligence Assurance Letters </v>
          </cell>
          <cell r="N34">
            <v>3</v>
          </cell>
          <cell r="O34">
            <v>3</v>
          </cell>
          <cell r="P34">
            <v>9</v>
          </cell>
          <cell r="Q34" t="str">
            <v>23/09/2024
30/12/2024
30/01/2025
01/04/2025
07/04/2025
30/06/2025
07/07/2025
06/10/2025
05/01/2026</v>
          </cell>
          <cell r="R34">
            <v>46118</v>
          </cell>
          <cell r="S34" t="str">
            <v>not overdue</v>
          </cell>
          <cell r="T34" t="str">
            <v>Claire Smith</v>
          </cell>
          <cell r="U34" t="str">
            <v>January 26 - approach agreed, ops group established and starting to progress communication plans and key actions in next 12 mths. Place board in Jan will receive a further update</v>
          </cell>
          <cell r="V34" t="str">
            <v>Quarterly</v>
          </cell>
          <cell r="W34" t="str">
            <v>ICB Place Committee</v>
          </cell>
          <cell r="X34" t="str">
            <v>Quality Performance Patient Involvement Experience (QPPIE)</v>
          </cell>
          <cell r="Y34">
            <v>44900</v>
          </cell>
          <cell r="Z34">
            <v>44896</v>
          </cell>
          <cell r="AA34">
            <v>869</v>
          </cell>
          <cell r="AB34" t="str">
            <v xml:space="preserve">October 2025 - Through the recommissioning, there was a strong focus on making the service more holistic, sustainable, and considering wider outcomes, including mental health as part of the approach to measuring success. In Janruary 2025 the h&amp;WB chair facilitated a development session to support the refresh of the strategy, this included analysis of our health inequalities data and key areas for improvement across health outcomes. The strategy is expected to be refreshed in the by Q3 2025/26. Our Place Plan will also be refreshed in this timeline. Both will incorporate key priorities around health inequalities. We have also now launched (November 2024) the proactive care model - neighbourhood MDT working to support the prevention agenda. Refresh of Pop Health action plan at Place is underway with an event in May 25 to agree priorities, we have also had a Placed based neighbourhood working workshop in late June and are now moving forward with the maturity matrix to understand where we are against the national model and key next steps. discussion are also underway to understand how Place will continue to manage our Place Plan and board moving forward as the ICB changes in its model. Rotherham is now a national pilot site for INTs with 2 events taking place in September and Oct to agree our approach to neighbourhood working. NHSE coach has started working with us. </v>
          </cell>
        </row>
        <row r="35">
          <cell r="A35" t="str">
            <v>SY139</v>
          </cell>
          <cell r="B35" t="str">
            <v>ICB</v>
          </cell>
          <cell r="C35" t="str">
            <v>Midwifery</v>
          </cell>
          <cell r="D35" t="str">
            <v>2, 5, 6, 7, 8</v>
          </cell>
          <cell r="E35" t="str">
            <v>BAF 2.8</v>
          </cell>
          <cell r="F35" t="str">
            <v>Maternity IT Systems - There is a risk that Maternity IT systems are unable to deliver various national requirements due to all providers across the LMNS have differing digital platforms, with varying degrees of digital maturity. This may result in reduced outcomes for women and babies contributing to Health Inequalities. Inability of Trusts to respond to reporting requirements</v>
          </cell>
          <cell r="G35">
            <v>4</v>
          </cell>
          <cell r="H35">
            <v>4</v>
          </cell>
          <cell r="I35">
            <v>16</v>
          </cell>
          <cell r="J35" t="str">
            <v>Consulted</v>
          </cell>
          <cell r="K35" t="str">
            <v xml:space="preserve">1)Ongoing work with individual providers to ensure that maternity information systems meet national digital specifications. 
2)Providers able to demonstrate compliance with the Clinical Negligence Scheme for Trusts (CNST) Safety action 1 (MSDS)
3)Solutions in place to facilitate transfer of care records </v>
          </cell>
          <cell r="L35" t="str">
            <v>Cathy Winfield</v>
          </cell>
          <cell r="M35" t="str">
            <v>LMNS Risk Register - R023</v>
          </cell>
          <cell r="N35">
            <v>3</v>
          </cell>
          <cell r="O35">
            <v>3</v>
          </cell>
          <cell r="P35">
            <v>9</v>
          </cell>
          <cell r="Q35" t="str">
            <v>31/03/2025
18/08/2025
16/12/2025</v>
          </cell>
          <cell r="R35">
            <v>46097</v>
          </cell>
          <cell r="S35" t="str">
            <v xml:space="preserve">14 </v>
          </cell>
          <cell r="T35" t="str">
            <v>Jodie Deadman</v>
          </cell>
          <cell r="U35" t="str">
            <v>December 2025 - LMNS Actions completed with no appetite (currently) from Trusts to implement a stand alone maternity system or standardised EPR. Interoperatability of IT systems remains a risk. Cerner implementation underway at STH. Badgernet implementation BNHFT complete. Challenges remain at TRFT (triplicate entry)</v>
          </cell>
          <cell r="V35" t="str">
            <v>Quarterly</v>
          </cell>
          <cell r="W35" t="str">
            <v>ICB LMNS Board</v>
          </cell>
          <cell r="X35" t="str">
            <v>Quality Performance Patient Involvement Experience (QPPIE)</v>
          </cell>
          <cell r="Y35">
            <v>45747</v>
          </cell>
          <cell r="Z35">
            <v>45717</v>
          </cell>
          <cell r="AA35">
            <v>264</v>
          </cell>
        </row>
        <row r="36">
          <cell r="A36" t="str">
            <v xml:space="preserve">SY019  </v>
          </cell>
          <cell r="B36" t="str">
            <v>ICB</v>
          </cell>
          <cell r="C36" t="str">
            <v>Information Governance</v>
          </cell>
          <cell r="D36" t="str">
            <v>1,2,6,7,8</v>
          </cell>
          <cell r="E36" t="str">
            <v>BAF 2.2, BAF 2.4</v>
          </cell>
          <cell r="F36" t="str">
            <v>Information Governance - Information Sharing - Possible Fraud risk. There is a risk that documents and information will be shared inadvertantly with staff outside of the ICB resulting in a breach of sensitive information and data. This could be due to an unsolicited email asking for log on details for an account, ESR or Bank Account</v>
          </cell>
          <cell r="G36">
            <v>2</v>
          </cell>
          <cell r="H36">
            <v>3</v>
          </cell>
          <cell r="I36">
            <v>6</v>
          </cell>
          <cell r="J36" t="str">
            <v>Responsible</v>
          </cell>
          <cell r="K36" t="str">
            <v xml:space="preserve">1)Information gathering underway to understand how much of a risk this is and whether any breaches have occurred.  
2)We have microsoft 365 training library to inform staff of how best practice utilisation of these tools.  We are running organisation wide and team based sessioins and webinars.  
3)We are supporting teams to migrate data reposatories alighed to best pratice guidance.  We also have controls on the creation and closure of microsoft teams to avoid mis-administration of secure file storage areas.  Team owner training is in place.  
4)We have a weekly microsft 365 pop up resolution centre.
</v>
          </cell>
          <cell r="L36" t="str">
            <v>Mark Janvier 
Director of Corporate and Governance</v>
          </cell>
          <cell r="M36" t="str">
            <v>Previous CCG Risk Management Processes</v>
          </cell>
          <cell r="N36">
            <v>2</v>
          </cell>
          <cell r="O36">
            <v>3</v>
          </cell>
          <cell r="P36">
            <v>6</v>
          </cell>
          <cell r="Q36" t="str">
            <v>05/12/2022               16/05/2023                    06/07/2023
12/12/2023
22/07/2024
23/10/2024
13/03/2025
06/20/2025</v>
          </cell>
          <cell r="R36">
            <v>46118</v>
          </cell>
          <cell r="S36" t="str">
            <v>Not overdue</v>
          </cell>
          <cell r="T36" t="str">
            <v>Kieran Baker</v>
          </cell>
          <cell r="U36" t="str">
            <v>Information gathering underway to understand how much of a risk this is and whether any breaches have occurred.  
As per mitigation
28/10 - We are working on a process to add M365 training and demonstration to the Staff Induction to help new staff members understand how we work as a hybrid and collaborative organisations and learn about the core tools that we use. Work is also continuing to roll out training and support for file migration.
A Bring Your Own Device Policy is now in place to ensure there are controls on how staff use personal devices for work purposes to reduce the risk of data loss.</v>
          </cell>
          <cell r="V36" t="str">
            <v>Six Monthly</v>
          </cell>
          <cell r="W36" t="str">
            <v xml:space="preserve">South Yorkshire IG Group </v>
          </cell>
          <cell r="X36" t="str">
            <v>Audit and Risk Committee</v>
          </cell>
          <cell r="Y36">
            <v>44900</v>
          </cell>
          <cell r="Z36">
            <v>44896</v>
          </cell>
          <cell r="AA36">
            <v>869</v>
          </cell>
          <cell r="AB36" t="str">
            <v xml:space="preserve">IG Group - observed there are 2-3 queries raised around people outside our organisation being able to see our intranet, whilst not an issue to us, as only people with access to the wider NHS network can see the internet but if things are misconfigured then this may allow outsiders to see. </v>
          </cell>
        </row>
        <row r="37">
          <cell r="A37" t="str">
            <v xml:space="preserve">SY062 </v>
          </cell>
          <cell r="B37" t="str">
            <v>ICB</v>
          </cell>
          <cell r="C37" t="str">
            <v>Information Governance</v>
          </cell>
          <cell r="D37" t="str">
            <v>1,2,6,7,8</v>
          </cell>
          <cell r="E37" t="str">
            <v>BAF 2.2, BAF 2.4</v>
          </cell>
          <cell r="F37" t="str">
            <v xml:space="preserve">Information Governance - Personal Devices - There is a risk that due to staff using their personal devices (i.e. smart phone, tablet, home PC) sensitive ICB information will be stored or inappropriately shared resulting in a data breach. </v>
          </cell>
          <cell r="G37">
            <v>2</v>
          </cell>
          <cell r="H37">
            <v>3</v>
          </cell>
          <cell r="I37">
            <v>6</v>
          </cell>
          <cell r="J37" t="str">
            <v>Responsible</v>
          </cell>
          <cell r="K37" t="str">
            <v xml:space="preserve">Low level risk due to small number of personal devices in use by staff </v>
          </cell>
          <cell r="L37" t="str">
            <v>Mark Janvier 
Director of Corporate and Governance</v>
          </cell>
          <cell r="M37" t="str">
            <v>Previous CCG Risk Management Processes</v>
          </cell>
          <cell r="N37">
            <v>2</v>
          </cell>
          <cell r="O37">
            <v>3</v>
          </cell>
          <cell r="P37">
            <v>6</v>
          </cell>
          <cell r="Q37" t="str">
            <v>05/12/2022                     16/05/2023                     06/07/2023
01/02/2024
23/10/2024
28/10/2024
13/03/2025
06/10/2025</v>
          </cell>
          <cell r="R37">
            <v>46118</v>
          </cell>
          <cell r="S37" t="str">
            <v>Not overdue</v>
          </cell>
          <cell r="T37" t="str">
            <v>Kieran Baker</v>
          </cell>
          <cell r="U37" t="str">
            <v>06/10/2025 - A electronic form is in place that staff can use to inform IT if they are using their personal device for work purposes and will ensure that staff confirm they have the appropriate controls in place to protect organisational data in line with the above policy.</v>
          </cell>
          <cell r="V37" t="str">
            <v>Six Monthly</v>
          </cell>
          <cell r="W37" t="str">
            <v xml:space="preserve">South Yorkshire IG Group </v>
          </cell>
          <cell r="X37" t="str">
            <v>Audit and Risk Committee</v>
          </cell>
          <cell r="Y37">
            <v>44900</v>
          </cell>
          <cell r="Z37">
            <v>44896</v>
          </cell>
          <cell r="AA37">
            <v>869</v>
          </cell>
          <cell r="AB37" t="str">
            <v>IG Group - the mitigation needs updating with the policies we have in place e.g. acceptable use policy – needs articulating. The level of issues that we have need to be ascertained</v>
          </cell>
        </row>
        <row r="38">
          <cell r="A38" t="str">
            <v>SY066</v>
          </cell>
          <cell r="B38" t="str">
            <v>ICB</v>
          </cell>
          <cell r="C38" t="str">
            <v>Adult Services</v>
          </cell>
          <cell r="D38" t="str">
            <v>1,5,6</v>
          </cell>
          <cell r="E38" t="str">
            <v>BAF 2.13</v>
          </cell>
          <cell r="F38" t="str">
            <v>Delayed Discharge from Hospital both Acute and Mental Health - Impacting on Ambulance Handover delays, pressure in system compounded by Industrial Action (IA), capacity, workforce gaps both within and outside of acute care leading to the potential for deconditioning, further delays, avoidable harm and poor experience.  Wrong place of care for optimum therapeutic treatment for people with mental health, Learning Disabilities and Autism (LDA) diagnosis.</v>
          </cell>
          <cell r="G38">
            <v>4</v>
          </cell>
          <cell r="H38">
            <v>3</v>
          </cell>
          <cell r="I38">
            <v>12</v>
          </cell>
          <cell r="J38" t="str">
            <v>Accountable</v>
          </cell>
          <cell r="K38" t="str">
            <v>1.Ongoing priority work as part of Urgent Emergency Care (UEC) alliance and priorities within each Place.  
2. Creative workforce solutions being explored.  Areas of good practice being shared via system executive leaders group.
3.Mental health Learning Disability and Autism (MHLDA) Programme
4. Monitoring of SI’s through quality forums
5. Ongoing Quality Improvement (QI) work with Emergency Care Improvement Support Team (ECIST)
6.Review of oversight across multiple mental commissioners planned.
7.System Efficiency Board convened across the ICS with focus on: Unfunded bed base / UEC demand to provide greater focus and visibility of ongoing UEC work at a place and/or system level and the likely impact on current provider unscheduled care / activity related cost pressures
8.Discharge pathways 
9.Trusted Assessor models
10. Virtual Wards, and 
11. escalation through ROC and TCG structures.
12. UEC Mental health workshop held Aug 2025</v>
          </cell>
          <cell r="L38" t="str">
            <v>Dr David Crichton (Chief Medical Officer)</v>
          </cell>
          <cell r="M38" t="str">
            <v>SQG - Regional Quality Group</v>
          </cell>
          <cell r="N38">
            <v>3</v>
          </cell>
          <cell r="O38">
            <v>2</v>
          </cell>
          <cell r="P38">
            <v>6</v>
          </cell>
          <cell r="Q38" t="str">
            <v>18/12/2022
02/03/2023
16/03/2023                 16/05/2023                               02/06/2023                    06/07/2023                               21/09/2023             16/10/2023           10/11/2023
09/01/2024
21/02/2024
27/05/2024
01/07/2024
01/10/2024
30/12/2024
14/04/2025
28/04/2025
27/10/2025</v>
          </cell>
          <cell r="R38">
            <v>46139</v>
          </cell>
          <cell r="S38" t="str">
            <v>Not overdue</v>
          </cell>
          <cell r="T38" t="str">
            <v>Katie Roebuck-Marfleet</v>
          </cell>
          <cell r="U38" t="str">
            <v>April 2025 - Risk of delayed discharge from acute and mental health hospitals, continuing to impact ambulance handover times and increase pressure across the system. Although industrial action has reduced, ongoing workforce gaps across acute, community, mental health, and social care sectors continue to affect flow. Patients are at ongoing risk of deconditioning, avoidable harm, and poor experience due to discharge delays. There remains a risk of patients with mental health needs, learning disabilities (LD) or autism (LDA) being placed in sub-optimal care settings, impacting recovery outcomes. 
October 2025 - UEC Mental health workshop held in August 2025, follow up objectives to progress</v>
          </cell>
          <cell r="V38" t="str">
            <v>Six Monthly</v>
          </cell>
          <cell r="W38" t="str">
            <v>ICB Place Committee</v>
          </cell>
          <cell r="X38" t="str">
            <v>Quality Performance Patient Involvement Experience (QPPIE)</v>
          </cell>
          <cell r="Y38">
            <v>44913</v>
          </cell>
          <cell r="Z38">
            <v>44896</v>
          </cell>
          <cell r="AA38">
            <v>859</v>
          </cell>
          <cell r="AB38" t="str">
            <v>Work still ongoing</v>
          </cell>
        </row>
        <row r="39">
          <cell r="A39" t="str">
            <v>SY123</v>
          </cell>
          <cell r="B39" t="str">
            <v>ICB</v>
          </cell>
          <cell r="C39" t="str">
            <v>Complaints</v>
          </cell>
          <cell r="D39" t="str">
            <v>1 5 6 7</v>
          </cell>
          <cell r="E39" t="str">
            <v>BAF 1.1, BAF 1.3</v>
          </cell>
          <cell r="F39" t="str">
            <v xml:space="preserve">Due to the volume of complaints, reduction in staffing, lack of data analysis or other learning from complaints may lead to a reputational, quality and safety risk, possibility of not meeting our oversight requirements and not listening to our public.  </v>
          </cell>
          <cell r="G39">
            <v>5</v>
          </cell>
          <cell r="H39">
            <v>3</v>
          </cell>
          <cell r="I39">
            <v>15</v>
          </cell>
          <cell r="J39" t="str">
            <v>Responsible</v>
          </cell>
          <cell r="K39" t="str">
            <v xml:space="preserve">1)Triage system in place on 'front door' 
2)Complaints staff working across the functions not in silos; in places
3)Weekly complaints team meetings happening. 
4)Clinical review process in place for primary care complaints </v>
          </cell>
          <cell r="L39" t="str">
            <v>Mark Janvier 
Director of Corporate and Governance</v>
          </cell>
          <cell r="M39" t="str">
            <v>Chief Nurses</v>
          </cell>
          <cell r="N39">
            <v>3</v>
          </cell>
          <cell r="O39">
            <v>4</v>
          </cell>
          <cell r="P39">
            <v>12</v>
          </cell>
          <cell r="Q39" t="str">
            <v>18/10/2023
4/12/2023
04/01/2024
31/01/2024
29/02/2024
10/04/2024
22/07/2024
21/10/2024
20/01/2025
24/04/2025
01/08/2025
09/02/2026
23/02/2026</v>
          </cell>
          <cell r="R39">
            <v>46165</v>
          </cell>
          <cell r="S39" t="str">
            <v>Not overdue</v>
          </cell>
          <cell r="T39" t="str">
            <v>Ruth Nutbrown</v>
          </cell>
          <cell r="U39" t="str">
            <v xml:space="preserve">February 2026 - Complaints management oversight group has been stood down due to organisational change process. Complaints staffing is decreasing due to maternity leave and organisational change process (VR). </v>
          </cell>
          <cell r="V39" t="str">
            <v>Quarterly</v>
          </cell>
          <cell r="W39" t="str">
            <v>Complaints Management Oversight Group</v>
          </cell>
          <cell r="X39" t="str">
            <v>Quality Performance Patient Involvement Experience (QPPIE)</v>
          </cell>
          <cell r="Y39">
            <v>45212</v>
          </cell>
          <cell r="Z39">
            <v>45200</v>
          </cell>
          <cell r="AA39">
            <v>645</v>
          </cell>
          <cell r="AB39" t="str">
            <v xml:space="preserve">February 2026 - Complaints team is working across the organisation including physical rotation and occupancy through places.  Currently working with HR to consolidate teams </v>
          </cell>
        </row>
        <row r="40">
          <cell r="A40" t="str">
            <v>SY130</v>
          </cell>
          <cell r="B40" t="str">
            <v>All Places</v>
          </cell>
          <cell r="C40" t="str">
            <v>Care Home - Individual Placements</v>
          </cell>
          <cell r="D40" t="str">
            <v>2 5 7</v>
          </cell>
          <cell r="E40" t="str">
            <v>BAF 1.1</v>
          </cell>
          <cell r="F40" t="str">
            <v>Care Homes - There is a risk of access to independent care provision outside of acute hospitals i.e. Residential Care Homes / Supported living. This is due to provider capacity and shortage around supported living. Which may result in prolonged length of hospital admission / patients accessing support out-of-area.</v>
          </cell>
          <cell r="G40">
            <v>3</v>
          </cell>
          <cell r="H40">
            <v>3</v>
          </cell>
          <cell r="I40">
            <v>9</v>
          </cell>
          <cell r="J40" t="str">
            <v>Accountable</v>
          </cell>
          <cell r="K40" t="str">
            <v xml:space="preserve">1)Building better relationships with providers
2)Improved capacity within system
3) Better communication with providers - updated with developments within the area
4) Working closely with Local Authority partners
</v>
          </cell>
          <cell r="L40" t="str">
            <v>Cathy Winfield
Chief Nursing Officer</v>
          </cell>
          <cell r="M40" t="str">
            <v>QIPPE</v>
          </cell>
          <cell r="N40">
            <v>3</v>
          </cell>
          <cell r="O40">
            <v>2</v>
          </cell>
          <cell r="P40">
            <v>6</v>
          </cell>
          <cell r="Q40" t="str">
            <v>02/04/2024
29/05/2024
14/08/2024
16/09/2024
07/01/2025
21/07/2025
28/01/2026</v>
          </cell>
          <cell r="R40">
            <v>46231</v>
          </cell>
          <cell r="S40" t="str">
            <v>Not overdue</v>
          </cell>
          <cell r="T40" t="str">
            <v>Alun Windle</v>
          </cell>
          <cell r="V40" t="str">
            <v>Six Monthly</v>
          </cell>
          <cell r="W40" t="str">
            <v>System Quality Group</v>
          </cell>
          <cell r="X40" t="str">
            <v>Quality Performance Patient Involvement Experience (QPPIE)</v>
          </cell>
          <cell r="Y40">
            <v>45350</v>
          </cell>
          <cell r="Z40">
            <v>45323</v>
          </cell>
          <cell r="AA40">
            <v>547</v>
          </cell>
          <cell r="AB40" t="str">
            <v>The ability to provide nursing care in South Yorkshire remains challenging currently with minimal provision one of our places and another becoming increasingly challenged</v>
          </cell>
        </row>
        <row r="41">
          <cell r="A41" t="str">
            <v>SY011</v>
          </cell>
          <cell r="B41" t="str">
            <v>ICB</v>
          </cell>
          <cell r="C41" t="str">
            <v>Corporate Services</v>
          </cell>
          <cell r="D41" t="str">
            <v>1,5,6,7,8</v>
          </cell>
          <cell r="E41" t="str">
            <v>BAF 1.3, BAF 1.11, BAF 0.1.1, BAF 0.2</v>
          </cell>
          <cell r="F41" t="str">
            <v>Emergency Preparedness, Resilience and Response (EPRR) - If the ICB does not put in place sufficient appropriate arrangements to meet legislation and standards required as a Category 1 Responder, there is a risk that the people of South Yorkshire will not be adequately protected from harm related to major incidents and other emergencies.</v>
          </cell>
          <cell r="G41">
            <v>1</v>
          </cell>
          <cell r="H41">
            <v>4</v>
          </cell>
          <cell r="I41">
            <v>4</v>
          </cell>
          <cell r="J41" t="str">
            <v>Responsible</v>
          </cell>
          <cell r="K41" t="str">
            <v xml:space="preserve">Reviewing our ongoing compliance with the EPRR Core Standards to identify any risks, issues or gaps and develop an action plan for any areas of development
</v>
          </cell>
          <cell r="L41" t="str">
            <v>Sarah Perkins
Director of Transformation and Delivery</v>
          </cell>
          <cell r="M41" t="str">
            <v>Previous CCG Risk Management Processes</v>
          </cell>
          <cell r="N41">
            <v>1</v>
          </cell>
          <cell r="O41">
            <v>4</v>
          </cell>
          <cell r="P41">
            <v>4</v>
          </cell>
          <cell r="Q41" t="str">
            <v>20/02/2023                            16/05/2023                    06/07/2023
01/02/2024
22/07/2024
24/04/2025
25/04/2025
10/11/2025</v>
          </cell>
          <cell r="R41">
            <v>46152</v>
          </cell>
          <cell r="S41" t="str">
            <v>Not overdue</v>
          </cell>
          <cell r="T41" t="str">
            <v xml:space="preserve">Mark Janvier
Helena Charlton
</v>
          </cell>
          <cell r="U41" t="str">
            <v>November 2025 - update on Core Standards to be presented to Audit &amp; Risk Committee at December meeting.  360 audit undertaken in August, however noted that due to the organisational change announcements in March but a continued lack of clarity on the role of EPRR in ICBs up to this point, the ICB is unable to assess its required staffing levels.  Once national clarity is received, a resource assessment will be undertaken.</v>
          </cell>
          <cell r="V41" t="str">
            <v>Six Monthly</v>
          </cell>
          <cell r="W41" t="str">
            <v>Local Health Resillience Partnership Group (LHRP)</v>
          </cell>
          <cell r="X41" t="str">
            <v>Audit and Risk Committee</v>
          </cell>
          <cell r="Y41">
            <v>44900</v>
          </cell>
          <cell r="Z41">
            <v>44896</v>
          </cell>
          <cell r="AA41">
            <v>869</v>
          </cell>
          <cell r="AB41" t="str">
            <v>EPRR Function impacted significantly by industrial action. Core standards review completed.  EPRR function being supported by all directorates.
April 2025 - Core standards review completed.  EPRR function being supported by all directorates where appropriate.  EPRR function is small in comparison to other ICBs and the impact of any upcoming restructures will need to be monitored accordingly.</v>
          </cell>
        </row>
        <row r="42">
          <cell r="A42" t="str">
            <v>SY042 - S</v>
          </cell>
          <cell r="B42" t="str">
            <v>All Places</v>
          </cell>
          <cell r="C42" t="str">
            <v>Finance inc Fraud</v>
          </cell>
          <cell r="D42" t="str">
            <v>6, 7</v>
          </cell>
          <cell r="E42" t="str">
            <v>BAF 1.1.1 BAF 1.3, BAF 4.3</v>
          </cell>
          <cell r="F42" t="str">
            <v>Service Delivery - There is a risk that the number of transformation workstreams within Places are not delivered which will cause a non delivery of our plans of services population health improvement and potential funding gap.</v>
          </cell>
          <cell r="G42">
            <v>4</v>
          </cell>
          <cell r="H42">
            <v>3</v>
          </cell>
          <cell r="I42">
            <v>12</v>
          </cell>
          <cell r="J42" t="str">
            <v>Accountable</v>
          </cell>
          <cell r="K42" t="str">
            <v>1)Place Committee receives updates on progress and issues for escalation/mitigation
2)Partnership agreement
3) Joint Efficiency Group oversight - receives updates on progress and issues for escalation/mitigation
4) all programmes/projects are on Aspyre and are reviewed via exec oversight 
5)budget review meetings with CEX</v>
          </cell>
          <cell r="L42" t="str">
            <v>Lee Outhwaite 
Chief Finance Officer</v>
          </cell>
          <cell r="M42" t="str">
            <v>Previous CCG Risk Management Processes</v>
          </cell>
          <cell r="N42">
            <v>1</v>
          </cell>
          <cell r="O42">
            <v>4</v>
          </cell>
          <cell r="P42">
            <v>4</v>
          </cell>
          <cell r="Q42" t="str">
            <v>08/10/2024
14/11/2024
16/12/2024
27/01/2025
30/01/2025
15/05/2025
22/06/2025
30/07/2025
03/11/2025
02/02/2026</v>
          </cell>
          <cell r="R42">
            <v>46236</v>
          </cell>
          <cell r="S42" t="str">
            <v>not overdue</v>
          </cell>
          <cell r="T42" t="str">
            <v>Jackie Mills</v>
          </cell>
          <cell r="U42" t="str">
            <v xml:space="preserve">February 2026 : original Sheffield place efficiency target £2.4m. Actual savings delivered/forecast to be delivered = £1,490k demand savings plus £4,729k budget savings, a total of £6.2m (over delivery of £3.8m). 
In the wider organisational context, place demand mitigation schemes only account for 11% of the total £97m efficiency programme. Turnaround processes have been in place since July. All schemes have been reviewed and assessed in terms of delivery (both from a maturity as well as financial impact perspective. Latest risk assessment indicates delivery of 100% of the £97m target. Greater financial risks posed by in year cost pressures, actions to address these pressures being assured via turnaround mechanisms. 
</v>
          </cell>
          <cell r="V42" t="str">
            <v>Six Monthly</v>
          </cell>
          <cell r="W42" t="str">
            <v>ICB Place Committee</v>
          </cell>
          <cell r="X42" t="str">
            <v>Finance &amp; Investment Committee</v>
          </cell>
          <cell r="Y42">
            <v>44900</v>
          </cell>
          <cell r="Z42">
            <v>44896</v>
          </cell>
          <cell r="AA42">
            <v>869</v>
          </cell>
          <cell r="AB42" t="str">
            <v xml:space="preserve">May 2025 - Whilst refinement of benefits still ongoing, the place team are forecasting that they can deliver the level of demand mitigation savings attributed to the place team. 
November 2025 - Sheffield place efficiency target met.  Turnaround process in place to assure the delivery of the full £97m efficiency programme not just the place demand mitigation element.  Greatest risk relates to in-year cost pressures where work to identity impact of mitigations is ongoing. </v>
          </cell>
        </row>
        <row r="43">
          <cell r="A43" t="str">
            <v xml:space="preserve">SY061 </v>
          </cell>
          <cell r="B43" t="str">
            <v>ICB</v>
          </cell>
          <cell r="C43" t="str">
            <v>Primary Care</v>
          </cell>
          <cell r="D43" t="str">
            <v>2,5,6</v>
          </cell>
          <cell r="E43" t="str">
            <v>BAF 1.8, BAF 2.2, BAF 3.10</v>
          </cell>
          <cell r="F43" t="str">
            <v>Access to Primary Care Data - There is a risk that primary care related commissioning decisions are not evidence-based due to lack of knowledge/access to primary care data resulting in an inability to progress population health management and a risk of poorer outcomes for patients.</v>
          </cell>
          <cell r="G43">
            <v>3</v>
          </cell>
          <cell r="H43">
            <v>3</v>
          </cell>
          <cell r="I43">
            <v>9</v>
          </cell>
          <cell r="J43" t="str">
            <v>Accountable</v>
          </cell>
          <cell r="K43" t="str">
            <v>1)Population Health Management (PHM) and Risk stratification using Eclipse solution (Now in 93% of GPs across the ICB)
2)Communication and engagement with all Practices across the ICB is underway to get all practices to sign up to the ICB data sharing agreement. This will allow us to directly access primary care data.</v>
          </cell>
          <cell r="L43" t="str">
            <v>Kieran Baker  
Chief Digital and Information Officer</v>
          </cell>
          <cell r="M43" t="str">
            <v>Previous CCG Risk Management Processes</v>
          </cell>
          <cell r="N43">
            <v>2</v>
          </cell>
          <cell r="O43">
            <v>2</v>
          </cell>
          <cell r="P43">
            <v>4</v>
          </cell>
          <cell r="Q43" t="str">
            <v>05/12/2022
02/03/2023                                 19/04/2023                     16/05/2023                    06/07/2023                   04/09/2023              16/10/2023
15/01/2024
15/04/2024
24/07/2024
28/10/2024
27/01/2025
05/02/2025
13/03/2025
01/08/2025
15/09/2025
06/10/2025</v>
          </cell>
          <cell r="R43">
            <v>46118</v>
          </cell>
          <cell r="S43" t="str">
            <v>not overdue</v>
          </cell>
          <cell r="T43" t="str">
            <v xml:space="preserve">Helen Stone / Barbara Coyle
</v>
          </cell>
          <cell r="U43" t="str">
            <v>September 2025 - Executive approval has also been granted to purchase a GP data feed from North East Commissioning Services Unit (NECS).  Data Sharing Agreement (DSA) has been developed for practices to sign and commercials are being worked through with NECS. DPIAs have been drafted and communications to LMCs and practices has begun to get sign up to the use cases. 
40 practices are signed up to share their data directly with the ICB and a new governance structure has been implemented to support decision-making regarding data sharing and linkage. 93% of all practices signed up to Eclipse.</v>
          </cell>
          <cell r="V43" t="str">
            <v>Six Monthly</v>
          </cell>
          <cell r="W43" t="str">
            <v>ICB Place Committee</v>
          </cell>
          <cell r="X43" t="str">
            <v>Audit and Risk Committee</v>
          </cell>
          <cell r="Y43">
            <v>44900</v>
          </cell>
          <cell r="Z43">
            <v>44896</v>
          </cell>
          <cell r="AA43">
            <v>869</v>
          </cell>
          <cell r="AB43" t="str">
            <v>Barnsley suggested rewording to: There is a risk that data can not be captured across all sectors of health and care to support improved services delivery and transformation.  This risk appears to be focussed upon GP's but actually there is probably an equal risk relating to all Primary Care Groups                                                                                                                                                                                                                                                                           Rotherham Primary Care data is improving.  Suggest close risk.      
6/11/23 - Currently with V Lindon for review
13/12/23 - V Lindon unable to provide further update, feels would be better to be reviewed by Kieran and those noted as responsible for review</v>
          </cell>
        </row>
        <row r="44">
          <cell r="A44" t="str">
            <v>SY144</v>
          </cell>
          <cell r="B44" t="str">
            <v>ICB</v>
          </cell>
          <cell r="C44" t="str">
            <v>Primary Care</v>
          </cell>
          <cell r="D44">
            <v>8</v>
          </cell>
          <cell r="F44" t="str">
            <v>Optometry - There is a risk of the ICB being unable to fully deliver the functions set out in the NHS England Eyecare Policy Manual and therefore being non‑compliant with the Primary Care Delegation Agreement with NHS England due to the ICB not recruiting to the role of Optometry Clinical Advisor, which is required to undertake contract application reviews, contract assurance activities, practice visits and post‑payment verification processes resulting in delays or inability to approve new contracts or changes in premises, failure to carry out required assurance and clinical audit activities, and potential legal or financial challenges from Eyecare contractors who may incur costs from delayed contract commencement or premises moves, as well as an inability to follow up on recommendations arising from post‑payment verification.</v>
          </cell>
          <cell r="G44">
            <v>5</v>
          </cell>
          <cell r="H44">
            <v>3</v>
          </cell>
          <cell r="I44">
            <v>15</v>
          </cell>
          <cell r="J44" t="str">
            <v>Accountable</v>
          </cell>
          <cell r="K44" t="str">
            <v>1.Approval was sought from the ICB Exec review Panel in November 2025 to recruit to the role. However, approval was only granted to recruit on a fixed term basis til March 2026, which was not achievable due to the recruitment process timeline. 
2. The ICB People Team has been approached to explore possible interim arrangements but they have been unable to support this, due to capacity issues in managing the ICB organisational change process. It has therefore not been possible to identify any actions to be taken in mitigation.</v>
          </cell>
          <cell r="L44" t="str">
            <v>Anthony Fitzgerald</v>
          </cell>
          <cell r="M44" t="str">
            <v>The risk was identified by the South Yorkshire Primary Care Team following the decision of the Exec Team in November 2025 to only recruit to the Optometry Advisor role on a fixed term basis til March 2026, which meant that due to recruitment process timescales, the post could not be recruited to.</v>
          </cell>
          <cell r="N44">
            <v>5</v>
          </cell>
          <cell r="O44">
            <v>3</v>
          </cell>
          <cell r="P44">
            <v>15</v>
          </cell>
          <cell r="Q44" t="str">
            <v>22/01/2026
26/01/2026
27/01/2026
02/03/2026</v>
          </cell>
          <cell r="R44">
            <v>46114</v>
          </cell>
          <cell r="S44" t="str">
            <v>not overdue</v>
          </cell>
          <cell r="T44" t="str">
            <v>Victoria Lindon</v>
          </cell>
          <cell r="V44" t="str">
            <v>Monthly</v>
          </cell>
          <cell r="W44" t="str">
            <v>Formal Executive Group</v>
          </cell>
          <cell r="X44" t="str">
            <v>ICB Board</v>
          </cell>
          <cell r="Y44">
            <v>46048</v>
          </cell>
          <cell r="Z44">
            <v>46023</v>
          </cell>
          <cell r="AA44">
            <v>49</v>
          </cell>
          <cell r="AB44" t="str">
            <v>The ICB Board is Accountable to NHS England for compliance with the Delegation Agreement, the SRO for Primary Care is Responsible for delivery of the functions in the Delegation Agreement, NHS England should be Consulted on with regard to the ICB not being compliant with the Delegation Agreement and NHS England should be Informed when the issue is resolved.</v>
          </cell>
        </row>
        <row r="45">
          <cell r="A45" t="str">
            <v>SY145</v>
          </cell>
          <cell r="B45" t="str">
            <v>ICB</v>
          </cell>
          <cell r="C45" t="str">
            <v>People</v>
          </cell>
          <cell r="D45" t="str">
            <v>2, 4, 7, 8</v>
          </cell>
          <cell r="F45" t="str">
            <v>Organisational Change - There is a risk of business disruption during the organisational change process due to insufficient HR capacity, reduced managerial participation in the selection process, and potential workforce shortages caused by sickness or staff leaving resulting in gaps in skills and capacity that undermine the organisation’s ability to maintain business continuity and deliver core functions.</v>
          </cell>
          <cell r="G45">
            <v>4</v>
          </cell>
          <cell r="H45">
            <v>5</v>
          </cell>
          <cell r="I45">
            <v>20</v>
          </cell>
          <cell r="J45" t="str">
            <v>Accountable</v>
          </cell>
          <cell r="K45" t="str">
            <v>1.Business Continuity process - allows for prioritisation of tasks, formalises what work is to stop and will look to support the potential movement of personnel between functions and roles in a safe and appropriate way. 
2.Currently looking at redeployment options for additional support to HR team.</v>
          </cell>
          <cell r="L45" t="str">
            <v>Chris Edwards</v>
          </cell>
          <cell r="M45" t="str">
            <v>Transition Committee</v>
          </cell>
          <cell r="N45">
            <v>4</v>
          </cell>
          <cell r="O45">
            <v>4</v>
          </cell>
          <cell r="P45">
            <v>16</v>
          </cell>
          <cell r="Q45" t="str">
            <v>03/03/2026
12/03/2026</v>
          </cell>
          <cell r="R45">
            <v>46124</v>
          </cell>
          <cell r="S45" t="str">
            <v>not overdue</v>
          </cell>
          <cell r="T45" t="str">
            <v>Christine Joy / Mark Janvier</v>
          </cell>
          <cell r="U45" t="str">
            <v>March 2026 - The business continuity process is being used to actively manage prioritisation for work and risks are being mitigated where possible by sharing resources across teams within the People Function.</v>
          </cell>
          <cell r="V45" t="str">
            <v>Monthly</v>
          </cell>
          <cell r="W45" t="str">
            <v>Transition Committee</v>
          </cell>
          <cell r="X45" t="str">
            <v>Formal Executive Group (FEG)</v>
          </cell>
          <cell r="Y45">
            <v>46084</v>
          </cell>
          <cell r="Z45">
            <v>46082</v>
          </cell>
          <cell r="AA45">
            <v>23</v>
          </cell>
        </row>
        <row r="46">
          <cell r="A46" t="str">
            <v>SY146</v>
          </cell>
          <cell r="B46" t="str">
            <v>ICB</v>
          </cell>
          <cell r="C46" t="str">
            <v>People</v>
          </cell>
          <cell r="D46" t="str">
            <v>2, 3, 4, 7, 8</v>
          </cell>
          <cell r="F46" t="str">
            <v>Organisational Change - There is a risk of exceeding the NHS England financial allocation at the beginning of 2026/27 due to the cost of employees that remain in the ICB which may lead to significant financial pressure, management challenges, and difficulty providing meaningful work for remaining employees.</v>
          </cell>
          <cell r="G46">
            <v>4</v>
          </cell>
          <cell r="H46">
            <v>5</v>
          </cell>
          <cell r="I46">
            <v>20</v>
          </cell>
          <cell r="J46" t="str">
            <v>Accountable</v>
          </cell>
          <cell r="K46" t="str">
            <v>High uptake and approvals rate through the VR scheme</v>
          </cell>
          <cell r="L46" t="str">
            <v>Chris Edwards</v>
          </cell>
          <cell r="M46" t="str">
            <v>Transition Committee</v>
          </cell>
          <cell r="N46">
            <v>4</v>
          </cell>
          <cell r="O46">
            <v>4</v>
          </cell>
          <cell r="P46">
            <v>16</v>
          </cell>
          <cell r="Q46" t="str">
            <v>03/03/2026
12/03/2026</v>
          </cell>
          <cell r="R46">
            <v>46124</v>
          </cell>
          <cell r="S46" t="str">
            <v>not overdue</v>
          </cell>
          <cell r="T46" t="str">
            <v>Christine Joy / Mark Janvier</v>
          </cell>
          <cell r="U46" t="str">
            <v>March 2026 - 151 VR applications are being processed which will mitigate the cost pressure in 26/27.  A Round 2 is being planned.</v>
          </cell>
          <cell r="V46" t="str">
            <v>Monthly</v>
          </cell>
          <cell r="W46" t="str">
            <v>Transition Committee</v>
          </cell>
          <cell r="X46" t="str">
            <v>Formal Executive Group (FEG)</v>
          </cell>
          <cell r="Y46">
            <v>46084</v>
          </cell>
          <cell r="Z46">
            <v>46082</v>
          </cell>
          <cell r="AA46">
            <v>23</v>
          </cell>
        </row>
        <row r="47">
          <cell r="A47" t="str">
            <v>SY147</v>
          </cell>
          <cell r="B47" t="str">
            <v>ICB</v>
          </cell>
          <cell r="C47" t="str">
            <v>People</v>
          </cell>
          <cell r="D47" t="str">
            <v>2, 4, 7, 8</v>
          </cell>
          <cell r="F47" t="str">
            <v>Organisational Change - There is a risk of having a workforce that is not fully 'job‑ready' on Day 1 due to broad ringfences based on generic job descriptions and the need to approve a large proportion of voluntary redundancy requests resulting in a remaining workforce with transferable skills but insufficient role‑specific readiness.</v>
          </cell>
          <cell r="G47">
            <v>4</v>
          </cell>
          <cell r="H47">
            <v>5</v>
          </cell>
          <cell r="I47">
            <v>20</v>
          </cell>
          <cell r="J47" t="str">
            <v>Accountable</v>
          </cell>
          <cell r="K47" t="str">
            <v>1. Business Continuity process
2. Webinars and learning sessions for extant staff and 
3. Creation of a Future SY ICB Organisational Development Plan - Although there may be issues with fully analysing and managing need within the required timescales</v>
          </cell>
          <cell r="L47" t="str">
            <v>Chris Edwards</v>
          </cell>
          <cell r="M47" t="str">
            <v>Transition Committee</v>
          </cell>
          <cell r="N47">
            <v>4</v>
          </cell>
          <cell r="O47">
            <v>4</v>
          </cell>
          <cell r="P47">
            <v>16</v>
          </cell>
          <cell r="Q47" t="str">
            <v>03/03/2026
12/03/2026</v>
          </cell>
          <cell r="R47">
            <v>46124</v>
          </cell>
          <cell r="S47" t="str">
            <v>not overdue</v>
          </cell>
          <cell r="T47" t="str">
            <v>Christine Joy / Mark Janvier</v>
          </cell>
          <cell r="U47" t="str">
            <v>March 2026 - There is an OD plan in development to support the transition, there is also a Target Operating Model now developed and a detailed implementation plan to support this which includes creating the information that people will need to be able to do their job, development of assignment briefs to provide more clarity, contribution to a national development programme.</v>
          </cell>
          <cell r="V47" t="str">
            <v>Monthly</v>
          </cell>
          <cell r="W47" t="str">
            <v>Transition Committee</v>
          </cell>
          <cell r="X47" t="str">
            <v>Formal Executive Group (FEG)</v>
          </cell>
          <cell r="Y47">
            <v>46084</v>
          </cell>
          <cell r="Z47">
            <v>46082</v>
          </cell>
          <cell r="AA47">
            <v>23</v>
          </cell>
        </row>
        <row r="48">
          <cell r="A48" t="str">
            <v>SY148</v>
          </cell>
          <cell r="B48" t="str">
            <v>ICB</v>
          </cell>
          <cell r="C48" t="str">
            <v>People</v>
          </cell>
          <cell r="D48" t="str">
            <v>2, 4, 7, 8</v>
          </cell>
          <cell r="F48" t="str">
            <v>Organisational Change - There is a risk of new gaps, risks, and issues emerging during the development of the Target Operating Model due to the need for detailed analysis, design work, and decision‑making that may take longer than the available timescales resulting in delays or challenges in resolving these issues and ensuring the organisation is fully prepared for implementation.</v>
          </cell>
          <cell r="G48">
            <v>4</v>
          </cell>
          <cell r="H48">
            <v>5</v>
          </cell>
          <cell r="I48">
            <v>20</v>
          </cell>
          <cell r="J48" t="str">
            <v>Accountable</v>
          </cell>
          <cell r="K48" t="str">
            <v>Review TOM when completed</v>
          </cell>
          <cell r="L48" t="str">
            <v>Chris Edwards</v>
          </cell>
          <cell r="M48" t="str">
            <v>Transition Committee</v>
          </cell>
          <cell r="N48">
            <v>4</v>
          </cell>
          <cell r="O48">
            <v>4</v>
          </cell>
          <cell r="P48">
            <v>16</v>
          </cell>
          <cell r="Q48" t="str">
            <v>03/03/2026
12/03/2026</v>
          </cell>
          <cell r="R48">
            <v>46124</v>
          </cell>
          <cell r="S48" t="str">
            <v>not overdue</v>
          </cell>
          <cell r="T48" t="str">
            <v>Christine Joy / Mark Janvier</v>
          </cell>
          <cell r="U48" t="str">
            <v>March 2026 - The implementation plan developed to support the TOM will assist with managing this.  Will need to be continually reviewed as things change all the time.</v>
          </cell>
          <cell r="V48" t="str">
            <v>Monthly</v>
          </cell>
          <cell r="W48" t="str">
            <v>Transition Committee</v>
          </cell>
          <cell r="X48" t="str">
            <v>Formal Executive Group (FEG)</v>
          </cell>
          <cell r="Y48">
            <v>46084</v>
          </cell>
          <cell r="Z48">
            <v>46082</v>
          </cell>
          <cell r="AA48">
            <v>23</v>
          </cell>
        </row>
        <row r="49">
          <cell r="A49" t="str">
            <v>SY149</v>
          </cell>
          <cell r="B49" t="str">
            <v>ICB</v>
          </cell>
          <cell r="C49" t="str">
            <v>People</v>
          </cell>
          <cell r="D49" t="str">
            <v>2, 4, 7, 8</v>
          </cell>
          <cell r="F49" t="str">
            <v>Organisational Change - There is a risk of the executive team being unable to manage all elements of the change process within the required timescales due to limited executive capacity and the volume and complexity of activity associated with the change programme which may result in delays, reduced oversight, and challenges in effectively delivering the planned transformation.</v>
          </cell>
          <cell r="G49">
            <v>4</v>
          </cell>
          <cell r="H49">
            <v>5</v>
          </cell>
          <cell r="I49">
            <v>20</v>
          </cell>
          <cell r="J49" t="str">
            <v>Accountable</v>
          </cell>
          <cell r="K49" t="str">
            <v>Chief Executive Officer and Chief People Officer to assess regularly.</v>
          </cell>
          <cell r="L49" t="str">
            <v>Chris Edwards</v>
          </cell>
          <cell r="M49" t="str">
            <v>Transition Committee</v>
          </cell>
          <cell r="N49">
            <v>4</v>
          </cell>
          <cell r="O49">
            <v>4</v>
          </cell>
          <cell r="P49">
            <v>16</v>
          </cell>
          <cell r="Q49" t="str">
            <v>03/03/2026
12/03/2026</v>
          </cell>
          <cell r="R49">
            <v>46124</v>
          </cell>
          <cell r="S49" t="str">
            <v>not overdue</v>
          </cell>
          <cell r="T49" t="str">
            <v>Christine Joy / Mark Janvier</v>
          </cell>
          <cell r="U49" t="str">
            <v>March 2026 - The Future ICB PMO group reviews the workload and progress on the plan every week to enable pressures to be identified and managed.  The executive team have prioritised this work which is also having a positive impact.</v>
          </cell>
          <cell r="V49" t="str">
            <v>Monthly</v>
          </cell>
          <cell r="W49" t="str">
            <v>Transition Committee</v>
          </cell>
          <cell r="X49" t="str">
            <v>Formal Executive Group (FEG)</v>
          </cell>
          <cell r="Y49">
            <v>46084</v>
          </cell>
          <cell r="Z49">
            <v>46082</v>
          </cell>
          <cell r="AA49">
            <v>23</v>
          </cell>
        </row>
        <row r="50">
          <cell r="A50" t="str">
            <v>SY150</v>
          </cell>
          <cell r="B50" t="str">
            <v>ICB</v>
          </cell>
          <cell r="C50" t="str">
            <v>Children and Young People</v>
          </cell>
          <cell r="D50" t="str">
            <v>2, 5, 6, 8</v>
          </cell>
          <cell r="E50" t="str">
            <v>BAF 1.6.1, BAF 1.1.1, BAF 1.2</v>
          </cell>
          <cell r="F50" t="str">
            <v>Paediatric Hearing Services Improvement Programme - National review of paediatric audiology services has noted that two out of six services in South Yorkshire were initially assessed as Red Risk ratings, with four services assessed as Amber. One service required a look back case review to establish if harm has been caused. The outcome may result in children suffering delay and harm as a result of poor quality services and litigation.</v>
          </cell>
          <cell r="G50">
            <v>5</v>
          </cell>
          <cell r="H50">
            <v>4</v>
          </cell>
          <cell r="I50">
            <v>20</v>
          </cell>
          <cell r="J50" t="str">
            <v>Accountable</v>
          </cell>
          <cell r="K50" t="str">
            <v xml:space="preserve">"1.South Yorkshire Quality Oversight &amp; Improvement Group, with clinical scientific input and peer support, established for each trust/service.
2.Incident Management Group in place, with Place Quality Teams overseeing trust/service action plans. ICB SRO, Regional Lead for Healthcare Science and Medical Director are members.
3.Clinical visits established, with oversight and action plans reported to the System Quality Group, Quality, Improvement, Performance &amp; Patient Experience Committee, 4.Operational Executive and NHS England Paediatric Audiology Quality Board.
5.Regional monthly meetings and Subject Matter Review (SMR) subgroups established to review action plans.
6.Risks reported to the Regional Quality Group through the escalation report.
7.Improving Quality in Physiological Services (IQIP) included in the Standard Hospital Contract, to be implemented by 2027.
8.Care Quality Commission (CQC) has written to all providers requesting a Board report and plan to achieve IQIP accreditation.
9.Further national guidance published, requesting confirmation of the ICB clinical lead (Chief Medical Officer) and providing operational clarity on NHSE and ICB responsibilities for low or partial assurance outcomes.
10.Issues discussed at the NEY NHS England focus review meeting with the ICB.
11.National assurance harm reviews submitted on a monthly basis.
12.Monthly IQIG chaired by the NEY NHS England region, with deep dives on progress updates.
13. On-site assurance visit undertaken on 30 September 2025; improvement plan and recovery trajectory reviewed fortnightly at the IMG (chaired by the ICB) and monthly at IQIG (chaired by NHS England).
14.Continued embedding of SOPs and local guidance into routine practice.
15.Prioritisation of internal competency development and peer review processes.
16. Implementation of a change log to support communication across sites.
17. Development and implementation of a clear trajectory for DM01 compliance and follow‑up recovery.
18. Formalisation of regional mutual aid agreements to support service resilience.
19. Integrated Quality Improvement Group at Doncaster is in place for the remaining low assurance site, meets monthly and reports progress on this agenda </v>
          </cell>
          <cell r="L50" t="str">
            <v>Dr David Crichton (Chief Medical Officer)</v>
          </cell>
          <cell r="M50" t="str">
            <v>Issues Log - IL21 / IL21-D</v>
          </cell>
          <cell r="N50">
            <v>5</v>
          </cell>
          <cell r="O50">
            <v>3</v>
          </cell>
          <cell r="P50">
            <v>15</v>
          </cell>
          <cell r="Q50" t="str">
            <v>12/03/2026
16/03/2026
25/03/2026</v>
          </cell>
          <cell r="R50">
            <v>46137</v>
          </cell>
          <cell r="S50" t="str">
            <v>not overdue</v>
          </cell>
          <cell r="T50" t="str">
            <v>Andrea Ibbeson 
Jayne Sivakumar</v>
          </cell>
          <cell r="U50" t="str">
            <v>March 2026 - following site assurance visits, actions plans and reviews. All but 1 site is now GREEN (high assurance). Although the remaining site at Doncaster remains red, significant improvement has been seen on assurance revisit. Two areas of required ongoing work: staff competency training/recruitment and waiting list backlog reduction. Exit Criteria have been agreed to work towards.
NHSE response to Kingdom review still awaited.
23/03/2026 - Regional Paediatric Hearing Programme Board stood down due to progress being made. There is a national push to ensure all audiology services are UCAS accredited.  All harms from across the country are being moderated which will take months (probable over a year) to complete.</v>
          </cell>
          <cell r="V50" t="str">
            <v>Monthly</v>
          </cell>
          <cell r="W50" t="str">
            <v>System Quality Group</v>
          </cell>
          <cell r="X50" t="str">
            <v>Quality Performance Patient Involvement Experience (QPPIE)</v>
          </cell>
          <cell r="Y50">
            <v>46093</v>
          </cell>
          <cell r="Z50">
            <v>46082</v>
          </cell>
          <cell r="AA50">
            <v>16</v>
          </cell>
          <cell r="AB50" t="str">
            <v>March 2026 - Added back to risk register following de-escalation with merge and closure of Issues (IL21 - D and IL21)</v>
          </cell>
        </row>
        <row r="51">
          <cell r="A51" t="str">
            <v>SY151</v>
          </cell>
          <cell r="B51" t="str">
            <v>ICB</v>
          </cell>
          <cell r="C51" t="str">
            <v>Information Governance</v>
          </cell>
          <cell r="D51" t="str">
            <v>1,2,6,7,8</v>
          </cell>
          <cell r="E51" t="str">
            <v>BAF 2.2, BAF 2.4</v>
          </cell>
          <cell r="F51" t="str">
            <v>Information Governance/Cyber - There is a risk of information governance/cyber security disruption due to inadequate controls of system access during staff exits, resulting in data loss, service disruption and reputational damage.</v>
          </cell>
          <cell r="G51">
            <v>3</v>
          </cell>
          <cell r="H51">
            <v>4</v>
          </cell>
          <cell r="I51">
            <v>12</v>
          </cell>
          <cell r="J51" t="str">
            <v>Responsible</v>
          </cell>
          <cell r="K51" t="str">
            <v>Employee leaver notice period and exit procedure.
Role based access controls and audit logging.
Cyber security monitoring and incident response arrangements.
HR and IT coordination during redundancy</v>
          </cell>
          <cell r="L51" t="str">
            <v>Mark Janvier 
Director of Corporate and Governance</v>
          </cell>
          <cell r="M51" t="str">
            <v>SYICB IG Group</v>
          </cell>
          <cell r="N51">
            <v>3</v>
          </cell>
          <cell r="O51">
            <v>2</v>
          </cell>
          <cell r="P51">
            <v>6</v>
          </cell>
          <cell r="Q51">
            <v>46106</v>
          </cell>
          <cell r="R51">
            <v>46290</v>
          </cell>
          <cell r="S51" t="str">
            <v>not overdue</v>
          </cell>
          <cell r="T51" t="str">
            <v>Alison Hague</v>
          </cell>
          <cell r="V51" t="str">
            <v>Six Monthly</v>
          </cell>
          <cell r="W51" t="str">
            <v>SYICB IG Group</v>
          </cell>
          <cell r="X51" t="str">
            <v>Audit and Risk Committee</v>
          </cell>
          <cell r="Y51">
            <v>46106</v>
          </cell>
          <cell r="Z51">
            <v>46082</v>
          </cell>
          <cell r="AA51">
            <v>7</v>
          </cell>
        </row>
        <row r="52">
          <cell r="A52" t="str">
            <v>SY152</v>
          </cell>
          <cell r="B52" t="str">
            <v>Health Protection</v>
          </cell>
          <cell r="C52" t="str">
            <v>ICB</v>
          </cell>
          <cell r="D52" t="str">
            <v>1, 2, 3, 5, 6, 8</v>
          </cell>
          <cell r="F52" t="str">
            <v>There is a risk of health protection incidents and outbreaks receiving an insufficient and inconsistent response due to the absence of a commissioned, coherent, system‑wide health protection and outbreak response infrastructure, with provision varying across Places and relying on goodwill, ad‑hoc arrangements, or short‑term funding which may result in failure to meet statutory health protection responsibilities, harm to the population—particularly vulnerable groups—unplanned financial pressures from uncontrolled outbreaks, regulatory scrutiny from NHSE/DHSC, loss of system confidence, reputational damage, and reduced assurance that NHS services are prepared to deliver their statutory contribution to infectious disease incidents or outbreaks.</v>
          </cell>
          <cell r="G52">
            <v>5</v>
          </cell>
          <cell r="H52">
            <v>4</v>
          </cell>
          <cell r="I52">
            <v>20</v>
          </cell>
          <cell r="J52" t="str">
            <v xml:space="preserve"> Responsible</v>
          </cell>
          <cell r="K52" t="str">
            <v>In the absence of a single service addressing all requirements, the ICB has:
a) Created an Outbreak Response Framework to support ICB staff with key contacts and expectations for an ad-hoc response, and checklists/action cards drawn from regional and national guidance
b) Set up a Health Protection Transition Group (with a view in time to becoming a formal Tactical sub-group of the Local Health Resilience Partnership [LHRP]) with Local Authority public health leads and UKHSA to scope out work areas and prioritisation and make use of incident learning
c) The ICB is undertaking an urgent data collection exercise across all the ICB teams to establish current commissioned services at Places, their contracted remit, current delivery and key contacts, particularly in light of imminent staff departures from organisational change, to see if any existing contracts can be revised or performance-managed to better effect
d) Further to the above work, a wider gap analysis will be undertaken across the NHS and Local Authority colleagues to ensure all organisations are clear on each others' roles, service provisions, expectations and remaining gaps still to be addressed
e) Progress on implementation and alignment with commissioning the deliverables outlined in the minimum service specifications to have been made by the ICB 
f) ICBs will be invited to participate in scenario based 
exercises to stress test their commissioned services ahead of winter 2026/27 which regional colleagues will facilitate</v>
          </cell>
          <cell r="L52" t="str">
            <v>Dr David Crichton</v>
          </cell>
          <cell r="M52" t="str">
            <v>Ongoing issue noted across all Health Protection partners in South Yorkshire</v>
          </cell>
          <cell r="N52">
            <v>4</v>
          </cell>
          <cell r="O52">
            <v>3</v>
          </cell>
          <cell r="P52">
            <v>12</v>
          </cell>
          <cell r="Q52" t="str">
            <v>18/03/2026
30/03/2026</v>
          </cell>
          <cell r="R52">
            <v>46203</v>
          </cell>
          <cell r="S52" t="str">
            <v>not overdue</v>
          </cell>
          <cell r="T52" t="str">
            <v>Jo Harrison, Helena Charlton</v>
          </cell>
          <cell r="V52" t="str">
            <v>Quarterly</v>
          </cell>
          <cell r="W52" t="str">
            <v>Health Protection Transition Group.</v>
          </cell>
          <cell r="X52" t="str">
            <v>Quality Performance Patient Involvement Experience (QPPIE)</v>
          </cell>
          <cell r="Y52">
            <v>46111</v>
          </cell>
          <cell r="Z52">
            <v>46082</v>
          </cell>
          <cell r="AA52">
            <v>4</v>
          </cell>
        </row>
        <row r="53">
          <cell r="P53">
            <v>0</v>
          </cell>
          <cell r="S53" t="str">
            <v xml:space="preserve">32939 </v>
          </cell>
          <cell r="AA53">
            <v>32939</v>
          </cell>
        </row>
        <row r="54">
          <cell r="P54">
            <v>0</v>
          </cell>
          <cell r="S54" t="str">
            <v xml:space="preserve">32939 </v>
          </cell>
          <cell r="AA54">
            <v>32939</v>
          </cell>
        </row>
        <row r="55">
          <cell r="P55">
            <v>0</v>
          </cell>
          <cell r="S55" t="str">
            <v xml:space="preserve">32939 </v>
          </cell>
          <cell r="AA55">
            <v>32939</v>
          </cell>
        </row>
        <row r="56">
          <cell r="P56">
            <v>0</v>
          </cell>
          <cell r="S56" t="str">
            <v xml:space="preserve">32939 </v>
          </cell>
          <cell r="AA56">
            <v>32939</v>
          </cell>
        </row>
        <row r="57">
          <cell r="P57">
            <v>0</v>
          </cell>
          <cell r="S57" t="str">
            <v xml:space="preserve">32939 </v>
          </cell>
          <cell r="AA57">
            <v>32939</v>
          </cell>
        </row>
        <row r="58">
          <cell r="P58">
            <v>0</v>
          </cell>
          <cell r="S58" t="str">
            <v xml:space="preserve">32939 </v>
          </cell>
          <cell r="AA58">
            <v>32939</v>
          </cell>
        </row>
        <row r="59">
          <cell r="P59">
            <v>0</v>
          </cell>
          <cell r="S59" t="str">
            <v xml:space="preserve">32939 </v>
          </cell>
          <cell r="AA59">
            <v>32939</v>
          </cell>
        </row>
        <row r="60">
          <cell r="P60">
            <v>0</v>
          </cell>
          <cell r="S60" t="str">
            <v xml:space="preserve">32939 </v>
          </cell>
          <cell r="AA60">
            <v>32939</v>
          </cell>
        </row>
        <row r="61">
          <cell r="P61">
            <v>0</v>
          </cell>
          <cell r="S61" t="str">
            <v xml:space="preserve">32939 </v>
          </cell>
          <cell r="AA61">
            <v>32939</v>
          </cell>
        </row>
        <row r="62">
          <cell r="P62">
            <v>0</v>
          </cell>
          <cell r="S62" t="str">
            <v xml:space="preserve">32939 </v>
          </cell>
          <cell r="AA62">
            <v>32939</v>
          </cell>
        </row>
        <row r="63">
          <cell r="P63">
            <v>0</v>
          </cell>
          <cell r="S63" t="str">
            <v xml:space="preserve">32939 </v>
          </cell>
          <cell r="AA63">
            <v>32939</v>
          </cell>
        </row>
        <row r="64">
          <cell r="P64">
            <v>0</v>
          </cell>
          <cell r="S64" t="str">
            <v xml:space="preserve">32939 </v>
          </cell>
          <cell r="AA64">
            <v>32939</v>
          </cell>
        </row>
        <row r="65">
          <cell r="P65">
            <v>0</v>
          </cell>
          <cell r="S65" t="str">
            <v xml:space="preserve">32939 </v>
          </cell>
          <cell r="AA65">
            <v>32939</v>
          </cell>
        </row>
        <row r="66">
          <cell r="P66">
            <v>0</v>
          </cell>
          <cell r="S66" t="str">
            <v xml:space="preserve">32939 </v>
          </cell>
          <cell r="AA66">
            <v>32939</v>
          </cell>
        </row>
        <row r="67">
          <cell r="P67">
            <v>0</v>
          </cell>
          <cell r="S67" t="str">
            <v xml:space="preserve">32939 </v>
          </cell>
          <cell r="AA67">
            <v>32939</v>
          </cell>
        </row>
        <row r="68">
          <cell r="P68">
            <v>0</v>
          </cell>
          <cell r="S68" t="str">
            <v xml:space="preserve">32939 </v>
          </cell>
          <cell r="AA68">
            <v>32939</v>
          </cell>
        </row>
        <row r="69">
          <cell r="P69">
            <v>0</v>
          </cell>
          <cell r="S69" t="str">
            <v xml:space="preserve">32939 </v>
          </cell>
          <cell r="AA69">
            <v>32939</v>
          </cell>
        </row>
        <row r="70">
          <cell r="P70">
            <v>0</v>
          </cell>
          <cell r="S70" t="str">
            <v xml:space="preserve">32939 </v>
          </cell>
          <cell r="AA70">
            <v>32939</v>
          </cell>
        </row>
        <row r="71">
          <cell r="P71">
            <v>0</v>
          </cell>
          <cell r="S71" t="str">
            <v xml:space="preserve">32939 </v>
          </cell>
          <cell r="AA71">
            <v>32939</v>
          </cell>
        </row>
        <row r="72">
          <cell r="P72">
            <v>0</v>
          </cell>
          <cell r="S72" t="str">
            <v xml:space="preserve">32939 </v>
          </cell>
          <cell r="AA72">
            <v>32939</v>
          </cell>
        </row>
        <row r="73">
          <cell r="P73">
            <v>0</v>
          </cell>
          <cell r="S73" t="str">
            <v xml:space="preserve">32939 </v>
          </cell>
          <cell r="AA73">
            <v>32939</v>
          </cell>
        </row>
        <row r="74">
          <cell r="P74">
            <v>0</v>
          </cell>
          <cell r="S74" t="str">
            <v xml:space="preserve">32939 </v>
          </cell>
          <cell r="AA74">
            <v>32939</v>
          </cell>
        </row>
        <row r="75">
          <cell r="P75">
            <v>0</v>
          </cell>
          <cell r="S75" t="str">
            <v xml:space="preserve">32939 </v>
          </cell>
          <cell r="AA75">
            <v>32939</v>
          </cell>
        </row>
        <row r="76">
          <cell r="P76">
            <v>0</v>
          </cell>
          <cell r="S76" t="str">
            <v xml:space="preserve">32939 </v>
          </cell>
          <cell r="AA76">
            <v>32939</v>
          </cell>
        </row>
        <row r="77">
          <cell r="P77">
            <v>0</v>
          </cell>
          <cell r="S77" t="str">
            <v xml:space="preserve">32939 </v>
          </cell>
          <cell r="AA77">
            <v>32939</v>
          </cell>
        </row>
        <row r="78">
          <cell r="P78">
            <v>0</v>
          </cell>
          <cell r="S78" t="str">
            <v xml:space="preserve">32939 </v>
          </cell>
          <cell r="AA78">
            <v>32939</v>
          </cell>
        </row>
        <row r="79">
          <cell r="P79">
            <v>0</v>
          </cell>
          <cell r="S79" t="str">
            <v xml:space="preserve">32939 </v>
          </cell>
          <cell r="AA79">
            <v>32939</v>
          </cell>
        </row>
        <row r="80">
          <cell r="P80">
            <v>0</v>
          </cell>
          <cell r="S80" t="str">
            <v xml:space="preserve">32939 </v>
          </cell>
          <cell r="AA80">
            <v>32939</v>
          </cell>
        </row>
        <row r="81">
          <cell r="P81">
            <v>0</v>
          </cell>
          <cell r="S81" t="str">
            <v xml:space="preserve">32939 </v>
          </cell>
          <cell r="AA81">
            <v>32939</v>
          </cell>
        </row>
        <row r="82">
          <cell r="P82">
            <v>0</v>
          </cell>
          <cell r="S82" t="str">
            <v xml:space="preserve">32939 </v>
          </cell>
          <cell r="AA82">
            <v>32939</v>
          </cell>
        </row>
        <row r="83">
          <cell r="P83">
            <v>0</v>
          </cell>
          <cell r="S83" t="str">
            <v xml:space="preserve">32939 </v>
          </cell>
          <cell r="AA83">
            <v>32939</v>
          </cell>
        </row>
        <row r="84">
          <cell r="P84">
            <v>0</v>
          </cell>
          <cell r="S84" t="str">
            <v xml:space="preserve">32939 </v>
          </cell>
          <cell r="AA84">
            <v>32939</v>
          </cell>
        </row>
        <row r="85">
          <cell r="P85">
            <v>0</v>
          </cell>
          <cell r="S85" t="str">
            <v xml:space="preserve">32939 </v>
          </cell>
          <cell r="AA85">
            <v>32939</v>
          </cell>
        </row>
        <row r="86">
          <cell r="P86">
            <v>0</v>
          </cell>
          <cell r="S86" t="str">
            <v xml:space="preserve">32939 </v>
          </cell>
          <cell r="AA86">
            <v>32939</v>
          </cell>
        </row>
        <row r="87">
          <cell r="P87">
            <v>0</v>
          </cell>
          <cell r="S87" t="str">
            <v xml:space="preserve">32939 </v>
          </cell>
          <cell r="AA87">
            <v>32939</v>
          </cell>
        </row>
        <row r="88">
          <cell r="P88">
            <v>0</v>
          </cell>
          <cell r="S88" t="str">
            <v xml:space="preserve">32939 </v>
          </cell>
          <cell r="AA88">
            <v>32939</v>
          </cell>
        </row>
        <row r="89">
          <cell r="P89">
            <v>0</v>
          </cell>
          <cell r="S89" t="str">
            <v xml:space="preserve">32939 </v>
          </cell>
          <cell r="AA89">
            <v>32939</v>
          </cell>
        </row>
        <row r="90">
          <cell r="P90">
            <v>0</v>
          </cell>
          <cell r="S90" t="str">
            <v xml:space="preserve">32939 </v>
          </cell>
          <cell r="AA90">
            <v>32939</v>
          </cell>
        </row>
        <row r="91">
          <cell r="P91">
            <v>0</v>
          </cell>
          <cell r="S91" t="str">
            <v xml:space="preserve">32939 </v>
          </cell>
          <cell r="AA91">
            <v>32939</v>
          </cell>
        </row>
        <row r="92">
          <cell r="P92">
            <v>0</v>
          </cell>
          <cell r="S92" t="str">
            <v xml:space="preserve">32939 </v>
          </cell>
          <cell r="AA92">
            <v>32939</v>
          </cell>
        </row>
        <row r="93">
          <cell r="P93">
            <v>0</v>
          </cell>
          <cell r="S93" t="str">
            <v xml:space="preserve">32939 </v>
          </cell>
          <cell r="AA93">
            <v>32939</v>
          </cell>
        </row>
        <row r="94">
          <cell r="P94">
            <v>0</v>
          </cell>
          <cell r="S94" t="str">
            <v xml:space="preserve">32939 </v>
          </cell>
          <cell r="AA94">
            <v>32939</v>
          </cell>
        </row>
        <row r="95">
          <cell r="P95">
            <v>0</v>
          </cell>
          <cell r="S95" t="str">
            <v xml:space="preserve">32939 </v>
          </cell>
          <cell r="AA95">
            <v>32939</v>
          </cell>
        </row>
        <row r="96">
          <cell r="P96">
            <v>0</v>
          </cell>
          <cell r="S96" t="str">
            <v xml:space="preserve">32939 </v>
          </cell>
          <cell r="AA96">
            <v>32939</v>
          </cell>
        </row>
        <row r="97">
          <cell r="P97">
            <v>0</v>
          </cell>
          <cell r="S97" t="str">
            <v xml:space="preserve">32939 </v>
          </cell>
          <cell r="AA97">
            <v>32939</v>
          </cell>
        </row>
        <row r="98">
          <cell r="P98">
            <v>0</v>
          </cell>
          <cell r="S98" t="str">
            <v xml:space="preserve">32939 </v>
          </cell>
          <cell r="AA98">
            <v>32939</v>
          </cell>
        </row>
        <row r="99">
          <cell r="P99">
            <v>0</v>
          </cell>
          <cell r="S99" t="str">
            <v xml:space="preserve">32939 </v>
          </cell>
          <cell r="AA99">
            <v>32939</v>
          </cell>
        </row>
        <row r="100">
          <cell r="P100">
            <v>0</v>
          </cell>
          <cell r="S100" t="str">
            <v xml:space="preserve">32939 </v>
          </cell>
          <cell r="AA100">
            <v>32939</v>
          </cell>
        </row>
        <row r="101">
          <cell r="P101">
            <v>0</v>
          </cell>
          <cell r="S101" t="str">
            <v xml:space="preserve">32939 </v>
          </cell>
          <cell r="AA101">
            <v>32939</v>
          </cell>
        </row>
        <row r="102">
          <cell r="P102">
            <v>0</v>
          </cell>
          <cell r="S102" t="str">
            <v xml:space="preserve">32939 </v>
          </cell>
          <cell r="AA102">
            <v>32939</v>
          </cell>
        </row>
        <row r="103">
          <cell r="P103">
            <v>0</v>
          </cell>
          <cell r="S103" t="str">
            <v xml:space="preserve">32939 </v>
          </cell>
          <cell r="AA103">
            <v>32939</v>
          </cell>
        </row>
        <row r="104">
          <cell r="P104">
            <v>0</v>
          </cell>
          <cell r="S104" t="str">
            <v xml:space="preserve">32939 </v>
          </cell>
          <cell r="AA104">
            <v>32939</v>
          </cell>
        </row>
        <row r="105">
          <cell r="P105">
            <v>0</v>
          </cell>
          <cell r="S105" t="str">
            <v xml:space="preserve">32939 </v>
          </cell>
          <cell r="AA105">
            <v>32939</v>
          </cell>
        </row>
        <row r="106">
          <cell r="P106">
            <v>0</v>
          </cell>
          <cell r="S106" t="str">
            <v xml:space="preserve">32939 </v>
          </cell>
          <cell r="AA106">
            <v>32939</v>
          </cell>
        </row>
        <row r="107">
          <cell r="P107">
            <v>0</v>
          </cell>
          <cell r="S107" t="str">
            <v xml:space="preserve">32939 </v>
          </cell>
          <cell r="AA107">
            <v>32939</v>
          </cell>
        </row>
        <row r="108">
          <cell r="P108">
            <v>0</v>
          </cell>
          <cell r="S108" t="str">
            <v xml:space="preserve">32939 </v>
          </cell>
          <cell r="AA108">
            <v>32939</v>
          </cell>
        </row>
        <row r="109">
          <cell r="P109">
            <v>0</v>
          </cell>
          <cell r="S109" t="str">
            <v xml:space="preserve">32939 </v>
          </cell>
          <cell r="AA109">
            <v>32939</v>
          </cell>
        </row>
        <row r="110">
          <cell r="P110">
            <v>0</v>
          </cell>
          <cell r="S110" t="str">
            <v xml:space="preserve">32939 </v>
          </cell>
          <cell r="AA110">
            <v>32939</v>
          </cell>
        </row>
        <row r="111">
          <cell r="P111">
            <v>0</v>
          </cell>
          <cell r="S111" t="str">
            <v xml:space="preserve">32939 </v>
          </cell>
          <cell r="AA111">
            <v>32939</v>
          </cell>
        </row>
        <row r="112">
          <cell r="P112">
            <v>0</v>
          </cell>
          <cell r="S112" t="str">
            <v xml:space="preserve">32939 </v>
          </cell>
          <cell r="AA112">
            <v>32939</v>
          </cell>
        </row>
        <row r="113">
          <cell r="P113">
            <v>0</v>
          </cell>
          <cell r="S113" t="str">
            <v xml:space="preserve">32939 </v>
          </cell>
          <cell r="AA113">
            <v>32939</v>
          </cell>
        </row>
        <row r="114">
          <cell r="P114">
            <v>0</v>
          </cell>
          <cell r="S114" t="str">
            <v xml:space="preserve">32939 </v>
          </cell>
          <cell r="AA114">
            <v>32939</v>
          </cell>
        </row>
        <row r="115">
          <cell r="P115">
            <v>0</v>
          </cell>
          <cell r="S115" t="str">
            <v xml:space="preserve">32939 </v>
          </cell>
          <cell r="AA115">
            <v>32939</v>
          </cell>
        </row>
        <row r="116">
          <cell r="P116">
            <v>0</v>
          </cell>
          <cell r="S116" t="str">
            <v xml:space="preserve">32939 </v>
          </cell>
          <cell r="AA116">
            <v>32939</v>
          </cell>
        </row>
        <row r="117">
          <cell r="P117">
            <v>0</v>
          </cell>
          <cell r="S117" t="str">
            <v xml:space="preserve">32939 </v>
          </cell>
          <cell r="AA117">
            <v>32939</v>
          </cell>
        </row>
        <row r="118">
          <cell r="P118">
            <v>0</v>
          </cell>
          <cell r="S118" t="str">
            <v xml:space="preserve">32939 </v>
          </cell>
          <cell r="AA118">
            <v>32939</v>
          </cell>
        </row>
        <row r="119">
          <cell r="P119">
            <v>0</v>
          </cell>
          <cell r="S119" t="str">
            <v xml:space="preserve">32939 </v>
          </cell>
          <cell r="AA119">
            <v>32939</v>
          </cell>
        </row>
        <row r="120">
          <cell r="P120">
            <v>0</v>
          </cell>
          <cell r="S120" t="str">
            <v xml:space="preserve">32939 </v>
          </cell>
          <cell r="AA120">
            <v>32939</v>
          </cell>
        </row>
        <row r="121">
          <cell r="P121">
            <v>0</v>
          </cell>
          <cell r="S121" t="str">
            <v xml:space="preserve">32939 </v>
          </cell>
          <cell r="AA121">
            <v>32939</v>
          </cell>
        </row>
        <row r="122">
          <cell r="P122">
            <v>0</v>
          </cell>
          <cell r="S122" t="str">
            <v xml:space="preserve">32939 </v>
          </cell>
          <cell r="AA122">
            <v>32939</v>
          </cell>
        </row>
        <row r="123">
          <cell r="P123">
            <v>0</v>
          </cell>
          <cell r="S123" t="str">
            <v xml:space="preserve">32939 </v>
          </cell>
          <cell r="AA123">
            <v>32939</v>
          </cell>
        </row>
        <row r="124">
          <cell r="P124">
            <v>0</v>
          </cell>
          <cell r="S124" t="str">
            <v xml:space="preserve">32939 </v>
          </cell>
          <cell r="AA124">
            <v>32939</v>
          </cell>
        </row>
        <row r="125">
          <cell r="P125">
            <v>0</v>
          </cell>
          <cell r="S125" t="str">
            <v xml:space="preserve">32939 </v>
          </cell>
          <cell r="AA125">
            <v>32939</v>
          </cell>
        </row>
        <row r="126">
          <cell r="P126">
            <v>0</v>
          </cell>
          <cell r="S126" t="str">
            <v xml:space="preserve">32939 </v>
          </cell>
          <cell r="AA126">
            <v>32939</v>
          </cell>
        </row>
        <row r="127">
          <cell r="P127">
            <v>0</v>
          </cell>
          <cell r="S127" t="str">
            <v xml:space="preserve">32939 </v>
          </cell>
          <cell r="AA127">
            <v>32939</v>
          </cell>
        </row>
        <row r="128">
          <cell r="P128">
            <v>0</v>
          </cell>
          <cell r="S128" t="str">
            <v xml:space="preserve">32939 </v>
          </cell>
          <cell r="AA128">
            <v>32939</v>
          </cell>
        </row>
        <row r="129">
          <cell r="P129">
            <v>0</v>
          </cell>
          <cell r="S129" t="str">
            <v xml:space="preserve">32939 </v>
          </cell>
          <cell r="AA129">
            <v>32939</v>
          </cell>
        </row>
        <row r="130">
          <cell r="P130">
            <v>0</v>
          </cell>
          <cell r="S130" t="str">
            <v xml:space="preserve">32939 </v>
          </cell>
          <cell r="AA130">
            <v>32939</v>
          </cell>
        </row>
        <row r="131">
          <cell r="P131">
            <v>0</v>
          </cell>
          <cell r="S131" t="str">
            <v xml:space="preserve">32939 </v>
          </cell>
          <cell r="AA131">
            <v>32939</v>
          </cell>
        </row>
        <row r="132">
          <cell r="P132">
            <v>0</v>
          </cell>
          <cell r="S132" t="str">
            <v xml:space="preserve">32939 </v>
          </cell>
          <cell r="AA132">
            <v>32939</v>
          </cell>
        </row>
        <row r="133">
          <cell r="P133">
            <v>0</v>
          </cell>
          <cell r="S133" t="str">
            <v xml:space="preserve">32939 </v>
          </cell>
          <cell r="AA133">
            <v>32939</v>
          </cell>
        </row>
        <row r="134">
          <cell r="P134">
            <v>0</v>
          </cell>
          <cell r="S134" t="str">
            <v xml:space="preserve">32939 </v>
          </cell>
          <cell r="AA134">
            <v>32939</v>
          </cell>
        </row>
        <row r="135">
          <cell r="P135">
            <v>0</v>
          </cell>
          <cell r="S135" t="str">
            <v xml:space="preserve">32939 </v>
          </cell>
          <cell r="AA135">
            <v>32939</v>
          </cell>
        </row>
        <row r="136">
          <cell r="P136">
            <v>0</v>
          </cell>
          <cell r="S136" t="str">
            <v xml:space="preserve">32939 </v>
          </cell>
          <cell r="AA136">
            <v>32939</v>
          </cell>
        </row>
        <row r="137">
          <cell r="P137">
            <v>0</v>
          </cell>
          <cell r="S137" t="str">
            <v xml:space="preserve">32939 </v>
          </cell>
          <cell r="AA137">
            <v>32939</v>
          </cell>
        </row>
        <row r="138">
          <cell r="P138">
            <v>0</v>
          </cell>
          <cell r="S138" t="str">
            <v xml:space="preserve">32939 </v>
          </cell>
          <cell r="AA138">
            <v>32939</v>
          </cell>
        </row>
        <row r="139">
          <cell r="P139">
            <v>0</v>
          </cell>
          <cell r="S139" t="str">
            <v xml:space="preserve">32939 </v>
          </cell>
          <cell r="AA139">
            <v>32939</v>
          </cell>
        </row>
        <row r="140">
          <cell r="P140">
            <v>0</v>
          </cell>
          <cell r="S140" t="str">
            <v xml:space="preserve">32939 </v>
          </cell>
          <cell r="AA140">
            <v>32939</v>
          </cell>
        </row>
        <row r="141">
          <cell r="P141">
            <v>0</v>
          </cell>
          <cell r="S141" t="str">
            <v xml:space="preserve">32939 </v>
          </cell>
          <cell r="AA141">
            <v>32939</v>
          </cell>
        </row>
        <row r="142">
          <cell r="P142">
            <v>0</v>
          </cell>
          <cell r="S142" t="str">
            <v xml:space="preserve">32939 </v>
          </cell>
          <cell r="AA142">
            <v>32939</v>
          </cell>
        </row>
        <row r="143">
          <cell r="P143">
            <v>0</v>
          </cell>
          <cell r="S143" t="str">
            <v xml:space="preserve">32939 </v>
          </cell>
          <cell r="AA143">
            <v>32939</v>
          </cell>
        </row>
        <row r="144">
          <cell r="P144">
            <v>0</v>
          </cell>
          <cell r="S144" t="str">
            <v xml:space="preserve">32939 </v>
          </cell>
          <cell r="AA144">
            <v>32939</v>
          </cell>
        </row>
        <row r="145">
          <cell r="P145">
            <v>0</v>
          </cell>
          <cell r="S145" t="str">
            <v xml:space="preserve">32939 </v>
          </cell>
          <cell r="AA145">
            <v>32939</v>
          </cell>
        </row>
        <row r="146">
          <cell r="P146">
            <v>0</v>
          </cell>
          <cell r="S146" t="str">
            <v xml:space="preserve">32939 </v>
          </cell>
          <cell r="AA146">
            <v>32939</v>
          </cell>
        </row>
        <row r="147">
          <cell r="P147">
            <v>0</v>
          </cell>
          <cell r="S147" t="str">
            <v xml:space="preserve">32939 </v>
          </cell>
          <cell r="AA147">
            <v>32939</v>
          </cell>
        </row>
        <row r="148">
          <cell r="P148">
            <v>0</v>
          </cell>
          <cell r="S148" t="str">
            <v xml:space="preserve">32939 </v>
          </cell>
          <cell r="AA148">
            <v>32939</v>
          </cell>
        </row>
        <row r="149">
          <cell r="P149">
            <v>0</v>
          </cell>
          <cell r="S149" t="str">
            <v xml:space="preserve">32939 </v>
          </cell>
          <cell r="AA149">
            <v>32939</v>
          </cell>
        </row>
        <row r="150">
          <cell r="P150">
            <v>0</v>
          </cell>
          <cell r="S150" t="str">
            <v xml:space="preserve">32939 </v>
          </cell>
          <cell r="AA150">
            <v>32939</v>
          </cell>
        </row>
        <row r="151">
          <cell r="P151">
            <v>0</v>
          </cell>
          <cell r="S151" t="str">
            <v xml:space="preserve">32939 </v>
          </cell>
          <cell r="AA151">
            <v>32939</v>
          </cell>
        </row>
        <row r="152">
          <cell r="P152">
            <v>0</v>
          </cell>
          <cell r="S152" t="str">
            <v xml:space="preserve">32939 </v>
          </cell>
          <cell r="AA152">
            <v>32939</v>
          </cell>
        </row>
        <row r="153">
          <cell r="P153">
            <v>0</v>
          </cell>
          <cell r="S153" t="str">
            <v xml:space="preserve">32939 </v>
          </cell>
          <cell r="AA153">
            <v>32939</v>
          </cell>
        </row>
        <row r="154">
          <cell r="P154">
            <v>0</v>
          </cell>
          <cell r="S154" t="str">
            <v xml:space="preserve">32939 </v>
          </cell>
          <cell r="AA154">
            <v>32939</v>
          </cell>
        </row>
        <row r="155">
          <cell r="P155">
            <v>0</v>
          </cell>
          <cell r="S155" t="str">
            <v xml:space="preserve">32939 </v>
          </cell>
          <cell r="AA155">
            <v>32939</v>
          </cell>
        </row>
        <row r="156">
          <cell r="P156">
            <v>0</v>
          </cell>
          <cell r="S156" t="str">
            <v xml:space="preserve">32939 </v>
          </cell>
          <cell r="AA156">
            <v>32939</v>
          </cell>
        </row>
        <row r="157">
          <cell r="P157">
            <v>0</v>
          </cell>
          <cell r="S157" t="str">
            <v xml:space="preserve">32939 </v>
          </cell>
          <cell r="AA157">
            <v>32939</v>
          </cell>
        </row>
        <row r="158">
          <cell r="P158">
            <v>0</v>
          </cell>
          <cell r="S158" t="str">
            <v xml:space="preserve">32939 </v>
          </cell>
          <cell r="AA158">
            <v>32939</v>
          </cell>
        </row>
        <row r="159">
          <cell r="P159">
            <v>0</v>
          </cell>
          <cell r="S159" t="str">
            <v xml:space="preserve">32939 </v>
          </cell>
          <cell r="AA159">
            <v>32939</v>
          </cell>
        </row>
        <row r="160">
          <cell r="P160">
            <v>0</v>
          </cell>
          <cell r="S160" t="str">
            <v xml:space="preserve">32939 </v>
          </cell>
          <cell r="AA160">
            <v>32939</v>
          </cell>
        </row>
        <row r="161">
          <cell r="P161">
            <v>0</v>
          </cell>
          <cell r="S161" t="str">
            <v xml:space="preserve">32939 </v>
          </cell>
          <cell r="AA161">
            <v>32939</v>
          </cell>
        </row>
        <row r="162">
          <cell r="P162">
            <v>0</v>
          </cell>
          <cell r="S162" t="str">
            <v xml:space="preserve">32939 </v>
          </cell>
          <cell r="AA162">
            <v>32939</v>
          </cell>
        </row>
        <row r="163">
          <cell r="P163">
            <v>0</v>
          </cell>
          <cell r="S163" t="str">
            <v xml:space="preserve">32939 </v>
          </cell>
          <cell r="AA163">
            <v>32939</v>
          </cell>
        </row>
        <row r="164">
          <cell r="P164">
            <v>0</v>
          </cell>
          <cell r="S164" t="str">
            <v xml:space="preserve">32939 </v>
          </cell>
          <cell r="AA164">
            <v>32939</v>
          </cell>
        </row>
        <row r="165">
          <cell r="P165">
            <v>0</v>
          </cell>
          <cell r="S165" t="str">
            <v xml:space="preserve">32939 </v>
          </cell>
          <cell r="AA165">
            <v>32939</v>
          </cell>
        </row>
        <row r="166">
          <cell r="P166">
            <v>0</v>
          </cell>
          <cell r="S166" t="str">
            <v xml:space="preserve">32939 </v>
          </cell>
          <cell r="AA166">
            <v>32939</v>
          </cell>
        </row>
        <row r="167">
          <cell r="P167">
            <v>0</v>
          </cell>
          <cell r="S167" t="str">
            <v xml:space="preserve">32939 </v>
          </cell>
          <cell r="AA167">
            <v>32939</v>
          </cell>
        </row>
        <row r="168">
          <cell r="P168">
            <v>0</v>
          </cell>
          <cell r="S168" t="str">
            <v xml:space="preserve">32939 </v>
          </cell>
          <cell r="AA168">
            <v>32939</v>
          </cell>
        </row>
        <row r="169">
          <cell r="P169">
            <v>0</v>
          </cell>
          <cell r="S169" t="str">
            <v xml:space="preserve">32939 </v>
          </cell>
          <cell r="AA169">
            <v>32939</v>
          </cell>
        </row>
        <row r="170">
          <cell r="P170">
            <v>0</v>
          </cell>
          <cell r="S170" t="str">
            <v xml:space="preserve">32939 </v>
          </cell>
          <cell r="AA170">
            <v>32939</v>
          </cell>
        </row>
        <row r="171">
          <cell r="P171">
            <v>0</v>
          </cell>
          <cell r="S171" t="str">
            <v xml:space="preserve">32939 </v>
          </cell>
          <cell r="AA171">
            <v>32939</v>
          </cell>
        </row>
        <row r="172">
          <cell r="P172">
            <v>0</v>
          </cell>
          <cell r="S172" t="str">
            <v xml:space="preserve">32939 </v>
          </cell>
          <cell r="AA172">
            <v>32939</v>
          </cell>
        </row>
        <row r="173">
          <cell r="P173">
            <v>0</v>
          </cell>
          <cell r="S173" t="str">
            <v xml:space="preserve">32939 </v>
          </cell>
          <cell r="AA173">
            <v>32939</v>
          </cell>
        </row>
        <row r="174">
          <cell r="P174">
            <v>0</v>
          </cell>
          <cell r="S174" t="str">
            <v xml:space="preserve">32939 </v>
          </cell>
          <cell r="AA174">
            <v>32939</v>
          </cell>
        </row>
        <row r="175">
          <cell r="P175">
            <v>0</v>
          </cell>
          <cell r="S175" t="str">
            <v xml:space="preserve">32939 </v>
          </cell>
          <cell r="AA175">
            <v>32939</v>
          </cell>
        </row>
        <row r="176">
          <cell r="P176">
            <v>0</v>
          </cell>
          <cell r="S176" t="str">
            <v xml:space="preserve">32939 </v>
          </cell>
          <cell r="AA176">
            <v>32939</v>
          </cell>
        </row>
        <row r="177">
          <cell r="P177">
            <v>0</v>
          </cell>
          <cell r="S177" t="str">
            <v xml:space="preserve">32939 </v>
          </cell>
          <cell r="AA177">
            <v>32939</v>
          </cell>
        </row>
        <row r="178">
          <cell r="P178">
            <v>0</v>
          </cell>
          <cell r="S178" t="str">
            <v xml:space="preserve">32939 </v>
          </cell>
          <cell r="AA178">
            <v>32939</v>
          </cell>
        </row>
        <row r="179">
          <cell r="P179">
            <v>0</v>
          </cell>
          <cell r="S179" t="str">
            <v xml:space="preserve">32939 </v>
          </cell>
          <cell r="AA179">
            <v>32939</v>
          </cell>
        </row>
        <row r="180">
          <cell r="P180">
            <v>0</v>
          </cell>
          <cell r="S180" t="str">
            <v xml:space="preserve">32939 </v>
          </cell>
          <cell r="AA180">
            <v>32939</v>
          </cell>
        </row>
        <row r="181">
          <cell r="P181">
            <v>0</v>
          </cell>
          <cell r="S181" t="str">
            <v xml:space="preserve">32939 </v>
          </cell>
          <cell r="AA181">
            <v>32939</v>
          </cell>
        </row>
        <row r="182">
          <cell r="P182">
            <v>0</v>
          </cell>
          <cell r="S182" t="str">
            <v xml:space="preserve">32939 </v>
          </cell>
          <cell r="AA182">
            <v>32939</v>
          </cell>
        </row>
        <row r="183">
          <cell r="P183">
            <v>0</v>
          </cell>
          <cell r="S183" t="str">
            <v xml:space="preserve">32939 </v>
          </cell>
          <cell r="AA183">
            <v>32939</v>
          </cell>
        </row>
        <row r="184">
          <cell r="P184">
            <v>0</v>
          </cell>
          <cell r="S184" t="str">
            <v xml:space="preserve">32939 </v>
          </cell>
          <cell r="AA184">
            <v>32939</v>
          </cell>
        </row>
        <row r="185">
          <cell r="P185">
            <v>0</v>
          </cell>
          <cell r="S185" t="str">
            <v xml:space="preserve">32939 </v>
          </cell>
          <cell r="AA185">
            <v>32939</v>
          </cell>
        </row>
        <row r="186">
          <cell r="P186">
            <v>0</v>
          </cell>
          <cell r="S186" t="str">
            <v xml:space="preserve">32939 </v>
          </cell>
          <cell r="AA186">
            <v>32939</v>
          </cell>
        </row>
        <row r="187">
          <cell r="P187">
            <v>0</v>
          </cell>
          <cell r="S187" t="str">
            <v xml:space="preserve">32939 </v>
          </cell>
          <cell r="AA187">
            <v>32939</v>
          </cell>
        </row>
        <row r="188">
          <cell r="P188">
            <v>0</v>
          </cell>
          <cell r="S188" t="str">
            <v xml:space="preserve">32939 </v>
          </cell>
          <cell r="AA188">
            <v>32939</v>
          </cell>
        </row>
        <row r="189">
          <cell r="P189">
            <v>0</v>
          </cell>
          <cell r="S189" t="str">
            <v xml:space="preserve">32939 </v>
          </cell>
          <cell r="AA189">
            <v>32939</v>
          </cell>
        </row>
        <row r="190">
          <cell r="P190">
            <v>0</v>
          </cell>
          <cell r="S190" t="str">
            <v xml:space="preserve">32939 </v>
          </cell>
          <cell r="AA190">
            <v>32939</v>
          </cell>
        </row>
        <row r="191">
          <cell r="P191">
            <v>0</v>
          </cell>
          <cell r="S191" t="str">
            <v xml:space="preserve">32939 </v>
          </cell>
          <cell r="AA191">
            <v>32939</v>
          </cell>
        </row>
        <row r="192">
          <cell r="P192">
            <v>0</v>
          </cell>
          <cell r="S192" t="str">
            <v xml:space="preserve">32939 </v>
          </cell>
          <cell r="AA192">
            <v>32939</v>
          </cell>
        </row>
        <row r="193">
          <cell r="P193">
            <v>0</v>
          </cell>
          <cell r="S193" t="str">
            <v xml:space="preserve">32939 </v>
          </cell>
          <cell r="AA193">
            <v>32939</v>
          </cell>
        </row>
        <row r="194">
          <cell r="P194">
            <v>0</v>
          </cell>
          <cell r="S194" t="str">
            <v xml:space="preserve">32939 </v>
          </cell>
          <cell r="AA194">
            <v>32939</v>
          </cell>
        </row>
        <row r="195">
          <cell r="P195">
            <v>0</v>
          </cell>
          <cell r="S195" t="str">
            <v xml:space="preserve">32939 </v>
          </cell>
          <cell r="AA195">
            <v>32939</v>
          </cell>
        </row>
        <row r="196">
          <cell r="P196">
            <v>0</v>
          </cell>
          <cell r="S196" t="str">
            <v xml:space="preserve">32939 </v>
          </cell>
          <cell r="AA196">
            <v>32939</v>
          </cell>
        </row>
        <row r="197">
          <cell r="P197">
            <v>0</v>
          </cell>
          <cell r="S197" t="str">
            <v xml:space="preserve">32939 </v>
          </cell>
          <cell r="AA197">
            <v>32939</v>
          </cell>
        </row>
        <row r="198">
          <cell r="P198">
            <v>0</v>
          </cell>
          <cell r="S198" t="str">
            <v xml:space="preserve">32939 </v>
          </cell>
          <cell r="AA198">
            <v>32939</v>
          </cell>
        </row>
        <row r="199">
          <cell r="P199">
            <v>0</v>
          </cell>
          <cell r="S199" t="str">
            <v xml:space="preserve">32939 </v>
          </cell>
          <cell r="AA199">
            <v>32939</v>
          </cell>
        </row>
        <row r="200">
          <cell r="P200">
            <v>0</v>
          </cell>
          <cell r="S200" t="str">
            <v xml:space="preserve">32939 </v>
          </cell>
          <cell r="AA200">
            <v>32939</v>
          </cell>
        </row>
        <row r="201">
          <cell r="P201">
            <v>0</v>
          </cell>
          <cell r="S201" t="str">
            <v xml:space="preserve">32939 </v>
          </cell>
          <cell r="AA201">
            <v>32939</v>
          </cell>
        </row>
        <row r="202">
          <cell r="P202">
            <v>0</v>
          </cell>
          <cell r="S202" t="str">
            <v xml:space="preserve">32939 </v>
          </cell>
          <cell r="AA202">
            <v>32939</v>
          </cell>
        </row>
        <row r="203">
          <cell r="P203">
            <v>0</v>
          </cell>
          <cell r="S203" t="str">
            <v xml:space="preserve">32939 </v>
          </cell>
          <cell r="AA203">
            <v>32939</v>
          </cell>
        </row>
        <row r="204">
          <cell r="P204">
            <v>0</v>
          </cell>
          <cell r="S204" t="str">
            <v xml:space="preserve">32939 </v>
          </cell>
          <cell r="AA204">
            <v>32939</v>
          </cell>
        </row>
        <row r="205">
          <cell r="P205">
            <v>0</v>
          </cell>
          <cell r="S205" t="str">
            <v xml:space="preserve">32939 </v>
          </cell>
          <cell r="AA205">
            <v>32939</v>
          </cell>
        </row>
        <row r="206">
          <cell r="P206">
            <v>0</v>
          </cell>
          <cell r="S206" t="str">
            <v xml:space="preserve">32939 </v>
          </cell>
          <cell r="AA206">
            <v>32939</v>
          </cell>
        </row>
        <row r="207">
          <cell r="P207">
            <v>0</v>
          </cell>
          <cell r="S207" t="str">
            <v xml:space="preserve">32939 </v>
          </cell>
          <cell r="AA207">
            <v>32939</v>
          </cell>
        </row>
        <row r="208">
          <cell r="P208">
            <v>0</v>
          </cell>
          <cell r="S208" t="str">
            <v xml:space="preserve">32939 </v>
          </cell>
          <cell r="AA208">
            <v>32939</v>
          </cell>
        </row>
        <row r="209">
          <cell r="P209">
            <v>0</v>
          </cell>
          <cell r="S209" t="str">
            <v xml:space="preserve">32939 </v>
          </cell>
          <cell r="AA209">
            <v>32939</v>
          </cell>
        </row>
        <row r="210">
          <cell r="P210">
            <v>0</v>
          </cell>
          <cell r="S210" t="str">
            <v xml:space="preserve">32939 </v>
          </cell>
          <cell r="AA210">
            <v>32939</v>
          </cell>
        </row>
        <row r="211">
          <cell r="P211">
            <v>0</v>
          </cell>
          <cell r="S211" t="str">
            <v xml:space="preserve">32939 </v>
          </cell>
          <cell r="AA211">
            <v>32939</v>
          </cell>
        </row>
        <row r="212">
          <cell r="P212">
            <v>0</v>
          </cell>
          <cell r="S212" t="str">
            <v xml:space="preserve">32939 </v>
          </cell>
          <cell r="AA212">
            <v>32939</v>
          </cell>
        </row>
        <row r="213">
          <cell r="P213">
            <v>0</v>
          </cell>
          <cell r="S213" t="str">
            <v xml:space="preserve">32939 </v>
          </cell>
          <cell r="AA213">
            <v>32939</v>
          </cell>
        </row>
        <row r="214">
          <cell r="P214">
            <v>0</v>
          </cell>
          <cell r="S214" t="str">
            <v xml:space="preserve">32939 </v>
          </cell>
          <cell r="AA214">
            <v>32939</v>
          </cell>
        </row>
        <row r="215">
          <cell r="P215">
            <v>0</v>
          </cell>
          <cell r="S215" t="str">
            <v xml:space="preserve">32939 </v>
          </cell>
          <cell r="AA215">
            <v>32939</v>
          </cell>
        </row>
        <row r="216">
          <cell r="P216">
            <v>0</v>
          </cell>
          <cell r="S216" t="str">
            <v xml:space="preserve">32939 </v>
          </cell>
          <cell r="AA216">
            <v>32939</v>
          </cell>
        </row>
        <row r="217">
          <cell r="P217">
            <v>0</v>
          </cell>
          <cell r="S217" t="str">
            <v xml:space="preserve">32939 </v>
          </cell>
          <cell r="AA217">
            <v>32939</v>
          </cell>
        </row>
        <row r="218">
          <cell r="P218">
            <v>0</v>
          </cell>
          <cell r="S218" t="str">
            <v xml:space="preserve">32939 </v>
          </cell>
          <cell r="AA218">
            <v>32939</v>
          </cell>
        </row>
        <row r="219">
          <cell r="P219">
            <v>0</v>
          </cell>
          <cell r="S219" t="str">
            <v xml:space="preserve">32939 </v>
          </cell>
          <cell r="AA219">
            <v>32939</v>
          </cell>
        </row>
        <row r="220">
          <cell r="P220">
            <v>0</v>
          </cell>
          <cell r="S220" t="str">
            <v xml:space="preserve">32939 </v>
          </cell>
          <cell r="AA220">
            <v>32939</v>
          </cell>
        </row>
        <row r="221">
          <cell r="P221">
            <v>0</v>
          </cell>
          <cell r="S221" t="str">
            <v xml:space="preserve">32939 </v>
          </cell>
          <cell r="AA221">
            <v>32939</v>
          </cell>
        </row>
        <row r="222">
          <cell r="P222">
            <v>0</v>
          </cell>
          <cell r="S222" t="str">
            <v xml:space="preserve">32939 </v>
          </cell>
          <cell r="AA222">
            <v>32939</v>
          </cell>
        </row>
        <row r="223">
          <cell r="P223">
            <v>0</v>
          </cell>
          <cell r="S223" t="str">
            <v xml:space="preserve">32939 </v>
          </cell>
          <cell r="AA223">
            <v>32939</v>
          </cell>
        </row>
        <row r="224">
          <cell r="P224">
            <v>0</v>
          </cell>
          <cell r="S224" t="str">
            <v xml:space="preserve">32939 </v>
          </cell>
          <cell r="AA224">
            <v>32939</v>
          </cell>
        </row>
        <row r="225">
          <cell r="P225">
            <v>0</v>
          </cell>
          <cell r="S225" t="str">
            <v xml:space="preserve">32939 </v>
          </cell>
          <cell r="AA225">
            <v>32939</v>
          </cell>
        </row>
        <row r="226">
          <cell r="P226">
            <v>0</v>
          </cell>
          <cell r="S226" t="str">
            <v xml:space="preserve">32939 </v>
          </cell>
          <cell r="AA226">
            <v>32939</v>
          </cell>
        </row>
        <row r="227">
          <cell r="P227">
            <v>0</v>
          </cell>
          <cell r="S227" t="str">
            <v xml:space="preserve">32939 </v>
          </cell>
          <cell r="AA227">
            <v>32939</v>
          </cell>
        </row>
        <row r="228">
          <cell r="P228">
            <v>0</v>
          </cell>
          <cell r="S228" t="str">
            <v xml:space="preserve">32939 </v>
          </cell>
          <cell r="AA228">
            <v>32939</v>
          </cell>
        </row>
        <row r="229">
          <cell r="P229">
            <v>0</v>
          </cell>
          <cell r="S229" t="str">
            <v xml:space="preserve">32939 </v>
          </cell>
          <cell r="AA229">
            <v>32939</v>
          </cell>
        </row>
        <row r="230">
          <cell r="P230">
            <v>0</v>
          </cell>
          <cell r="S230" t="str">
            <v xml:space="preserve">32939 </v>
          </cell>
          <cell r="AA230">
            <v>32939</v>
          </cell>
        </row>
        <row r="231">
          <cell r="P231">
            <v>0</v>
          </cell>
          <cell r="S231" t="str">
            <v xml:space="preserve">32939 </v>
          </cell>
          <cell r="AA231">
            <v>32939</v>
          </cell>
        </row>
        <row r="232">
          <cell r="P232">
            <v>0</v>
          </cell>
          <cell r="S232" t="str">
            <v xml:space="preserve">32939 </v>
          </cell>
          <cell r="AA232">
            <v>32939</v>
          </cell>
        </row>
        <row r="233">
          <cell r="P233">
            <v>0</v>
          </cell>
          <cell r="S233" t="str">
            <v xml:space="preserve">32939 </v>
          </cell>
          <cell r="AA233">
            <v>32939</v>
          </cell>
        </row>
        <row r="234">
          <cell r="P234">
            <v>0</v>
          </cell>
          <cell r="S234" t="str">
            <v xml:space="preserve">32939 </v>
          </cell>
          <cell r="AA234">
            <v>32939</v>
          </cell>
        </row>
        <row r="235">
          <cell r="P235">
            <v>0</v>
          </cell>
          <cell r="S235" t="str">
            <v xml:space="preserve">32939 </v>
          </cell>
          <cell r="AA235">
            <v>32939</v>
          </cell>
        </row>
        <row r="236">
          <cell r="P236">
            <v>0</v>
          </cell>
          <cell r="S236" t="str">
            <v xml:space="preserve">32939 </v>
          </cell>
          <cell r="AA236">
            <v>32939</v>
          </cell>
        </row>
        <row r="237">
          <cell r="P237">
            <v>0</v>
          </cell>
          <cell r="S237" t="str">
            <v xml:space="preserve">32939 </v>
          </cell>
          <cell r="AA237">
            <v>32939</v>
          </cell>
        </row>
        <row r="238">
          <cell r="P238">
            <v>0</v>
          </cell>
          <cell r="S238" t="str">
            <v xml:space="preserve">32939 </v>
          </cell>
          <cell r="AA238">
            <v>32939</v>
          </cell>
        </row>
        <row r="239">
          <cell r="P239">
            <v>0</v>
          </cell>
          <cell r="S239" t="str">
            <v xml:space="preserve">32939 </v>
          </cell>
          <cell r="AA239">
            <v>32939</v>
          </cell>
        </row>
        <row r="240">
          <cell r="P240">
            <v>0</v>
          </cell>
          <cell r="S240" t="str">
            <v xml:space="preserve">32939 </v>
          </cell>
          <cell r="AA240">
            <v>32939</v>
          </cell>
        </row>
        <row r="241">
          <cell r="P241">
            <v>0</v>
          </cell>
          <cell r="S241" t="str">
            <v xml:space="preserve">32939 </v>
          </cell>
          <cell r="AA241">
            <v>32939</v>
          </cell>
        </row>
        <row r="242">
          <cell r="P242">
            <v>0</v>
          </cell>
          <cell r="S242" t="str">
            <v xml:space="preserve">32939 </v>
          </cell>
          <cell r="AA242">
            <v>32939</v>
          </cell>
        </row>
        <row r="243">
          <cell r="P243">
            <v>0</v>
          </cell>
          <cell r="S243" t="str">
            <v xml:space="preserve">32939 </v>
          </cell>
          <cell r="AA243">
            <v>32939</v>
          </cell>
        </row>
        <row r="244">
          <cell r="P244">
            <v>0</v>
          </cell>
          <cell r="S244" t="str">
            <v xml:space="preserve">32939 </v>
          </cell>
          <cell r="AA244">
            <v>32939</v>
          </cell>
        </row>
        <row r="245">
          <cell r="P245">
            <v>0</v>
          </cell>
          <cell r="S245" t="str">
            <v xml:space="preserve">32939 </v>
          </cell>
          <cell r="AA245">
            <v>32939</v>
          </cell>
        </row>
        <row r="246">
          <cell r="P246">
            <v>0</v>
          </cell>
          <cell r="S246" t="str">
            <v xml:space="preserve">32939 </v>
          </cell>
          <cell r="AA246">
            <v>32939</v>
          </cell>
        </row>
        <row r="247">
          <cell r="P247">
            <v>0</v>
          </cell>
          <cell r="S247" t="str">
            <v xml:space="preserve">32939 </v>
          </cell>
          <cell r="AA247">
            <v>32939</v>
          </cell>
        </row>
        <row r="248">
          <cell r="P248">
            <v>0</v>
          </cell>
          <cell r="S248" t="str">
            <v xml:space="preserve">32939 </v>
          </cell>
          <cell r="AA248">
            <v>32939</v>
          </cell>
        </row>
        <row r="249">
          <cell r="P249">
            <v>0</v>
          </cell>
          <cell r="S249" t="str">
            <v xml:space="preserve">32939 </v>
          </cell>
          <cell r="AA249">
            <v>32939</v>
          </cell>
        </row>
        <row r="250">
          <cell r="P250">
            <v>0</v>
          </cell>
          <cell r="S250" t="str">
            <v xml:space="preserve">32939 </v>
          </cell>
          <cell r="AA250">
            <v>32939</v>
          </cell>
        </row>
        <row r="251">
          <cell r="P251">
            <v>0</v>
          </cell>
          <cell r="S251" t="str">
            <v xml:space="preserve">32939 </v>
          </cell>
          <cell r="AA251">
            <v>32939</v>
          </cell>
        </row>
        <row r="252">
          <cell r="P252">
            <v>0</v>
          </cell>
          <cell r="S252" t="str">
            <v xml:space="preserve">32939 </v>
          </cell>
          <cell r="AA252">
            <v>32939</v>
          </cell>
        </row>
        <row r="253">
          <cell r="P253">
            <v>0</v>
          </cell>
          <cell r="S253" t="str">
            <v xml:space="preserve">32939 </v>
          </cell>
          <cell r="AA253">
            <v>32939</v>
          </cell>
        </row>
        <row r="254">
          <cell r="P254">
            <v>0</v>
          </cell>
          <cell r="S254" t="str">
            <v xml:space="preserve">32939 </v>
          </cell>
          <cell r="AA254">
            <v>32939</v>
          </cell>
        </row>
        <row r="255">
          <cell r="P255">
            <v>0</v>
          </cell>
          <cell r="S255" t="str">
            <v xml:space="preserve">32939 </v>
          </cell>
          <cell r="AA255">
            <v>32939</v>
          </cell>
        </row>
        <row r="256">
          <cell r="P256">
            <v>0</v>
          </cell>
          <cell r="S256" t="str">
            <v xml:space="preserve">32939 </v>
          </cell>
          <cell r="AA256">
            <v>32939</v>
          </cell>
        </row>
        <row r="257">
          <cell r="P257">
            <v>0</v>
          </cell>
          <cell r="S257" t="str">
            <v xml:space="preserve">32939 </v>
          </cell>
          <cell r="AA257">
            <v>32939</v>
          </cell>
        </row>
        <row r="258">
          <cell r="P258">
            <v>0</v>
          </cell>
          <cell r="S258" t="str">
            <v xml:space="preserve">32939 </v>
          </cell>
          <cell r="AA258">
            <v>32939</v>
          </cell>
        </row>
        <row r="259">
          <cell r="P259">
            <v>0</v>
          </cell>
          <cell r="S259" t="str">
            <v xml:space="preserve">32939 </v>
          </cell>
          <cell r="AA259">
            <v>32939</v>
          </cell>
        </row>
        <row r="260">
          <cell r="P260">
            <v>0</v>
          </cell>
          <cell r="S260" t="str">
            <v xml:space="preserve">32939 </v>
          </cell>
          <cell r="AA260">
            <v>32939</v>
          </cell>
        </row>
        <row r="261">
          <cell r="P261">
            <v>0</v>
          </cell>
          <cell r="S261" t="str">
            <v xml:space="preserve">32939 </v>
          </cell>
          <cell r="AA261">
            <v>32939</v>
          </cell>
        </row>
        <row r="262">
          <cell r="P262">
            <v>0</v>
          </cell>
          <cell r="S262" t="str">
            <v xml:space="preserve">32939 </v>
          </cell>
          <cell r="AA262">
            <v>32939</v>
          </cell>
        </row>
        <row r="263">
          <cell r="P263">
            <v>0</v>
          </cell>
          <cell r="S263" t="str">
            <v xml:space="preserve">32939 </v>
          </cell>
          <cell r="AA263">
            <v>32939</v>
          </cell>
        </row>
        <row r="264">
          <cell r="P264">
            <v>0</v>
          </cell>
          <cell r="S264" t="str">
            <v xml:space="preserve">32939 </v>
          </cell>
          <cell r="AA264">
            <v>32939</v>
          </cell>
        </row>
        <row r="265">
          <cell r="P265">
            <v>0</v>
          </cell>
          <cell r="S265" t="str">
            <v xml:space="preserve">32939 </v>
          </cell>
          <cell r="AA265">
            <v>32939</v>
          </cell>
        </row>
        <row r="266">
          <cell r="P266">
            <v>0</v>
          </cell>
          <cell r="S266" t="str">
            <v xml:space="preserve">32939 </v>
          </cell>
          <cell r="AA266">
            <v>32939</v>
          </cell>
        </row>
        <row r="267">
          <cell r="P267">
            <v>0</v>
          </cell>
          <cell r="S267" t="str">
            <v xml:space="preserve">32939 </v>
          </cell>
          <cell r="AA267">
            <v>32939</v>
          </cell>
        </row>
        <row r="268">
          <cell r="P268">
            <v>0</v>
          </cell>
          <cell r="S268" t="str">
            <v xml:space="preserve">32939 </v>
          </cell>
          <cell r="AA268">
            <v>32939</v>
          </cell>
        </row>
        <row r="269">
          <cell r="P269">
            <v>0</v>
          </cell>
          <cell r="S269" t="str">
            <v xml:space="preserve">32939 </v>
          </cell>
          <cell r="AA269">
            <v>32939</v>
          </cell>
        </row>
        <row r="270">
          <cell r="P270">
            <v>0</v>
          </cell>
          <cell r="S270" t="str">
            <v xml:space="preserve">32939 </v>
          </cell>
          <cell r="AA270">
            <v>32939</v>
          </cell>
        </row>
        <row r="271">
          <cell r="P271">
            <v>0</v>
          </cell>
          <cell r="S271" t="str">
            <v xml:space="preserve">32939 </v>
          </cell>
          <cell r="AA271">
            <v>32939</v>
          </cell>
        </row>
        <row r="272">
          <cell r="P272">
            <v>0</v>
          </cell>
          <cell r="S272" t="str">
            <v xml:space="preserve">32939 </v>
          </cell>
          <cell r="AA272">
            <v>32939</v>
          </cell>
        </row>
        <row r="273">
          <cell r="P273">
            <v>0</v>
          </cell>
          <cell r="S273" t="str">
            <v xml:space="preserve">32939 </v>
          </cell>
          <cell r="AA273">
            <v>32939</v>
          </cell>
        </row>
        <row r="274">
          <cell r="P274">
            <v>0</v>
          </cell>
          <cell r="S274" t="str">
            <v xml:space="preserve">32939 </v>
          </cell>
          <cell r="AA274">
            <v>32939</v>
          </cell>
        </row>
        <row r="275">
          <cell r="P275">
            <v>0</v>
          </cell>
          <cell r="S275" t="str">
            <v xml:space="preserve">32939 </v>
          </cell>
          <cell r="AA275">
            <v>32939</v>
          </cell>
        </row>
        <row r="276">
          <cell r="P276">
            <v>0</v>
          </cell>
          <cell r="S276" t="str">
            <v xml:space="preserve">32939 </v>
          </cell>
          <cell r="AA276">
            <v>32939</v>
          </cell>
        </row>
        <row r="277">
          <cell r="P277">
            <v>0</v>
          </cell>
          <cell r="S277" t="str">
            <v xml:space="preserve">32939 </v>
          </cell>
          <cell r="AA277">
            <v>32939</v>
          </cell>
        </row>
        <row r="278">
          <cell r="P278">
            <v>0</v>
          </cell>
          <cell r="S278" t="str">
            <v xml:space="preserve">32939 </v>
          </cell>
          <cell r="AA278">
            <v>32939</v>
          </cell>
        </row>
        <row r="279">
          <cell r="P279">
            <v>0</v>
          </cell>
          <cell r="S279" t="str">
            <v xml:space="preserve">32939 </v>
          </cell>
          <cell r="AA279">
            <v>32939</v>
          </cell>
        </row>
        <row r="280">
          <cell r="P280">
            <v>0</v>
          </cell>
          <cell r="S280" t="str">
            <v xml:space="preserve">32939 </v>
          </cell>
          <cell r="AA280">
            <v>32939</v>
          </cell>
        </row>
        <row r="281">
          <cell r="P281">
            <v>0</v>
          </cell>
          <cell r="S281" t="str">
            <v xml:space="preserve">32939 </v>
          </cell>
          <cell r="AA281">
            <v>32939</v>
          </cell>
        </row>
        <row r="282">
          <cell r="P282">
            <v>0</v>
          </cell>
          <cell r="S282" t="str">
            <v xml:space="preserve">32939 </v>
          </cell>
          <cell r="AA282">
            <v>32939</v>
          </cell>
        </row>
        <row r="283">
          <cell r="P283">
            <v>0</v>
          </cell>
          <cell r="S283" t="str">
            <v xml:space="preserve">32939 </v>
          </cell>
          <cell r="AA283">
            <v>32939</v>
          </cell>
        </row>
        <row r="284">
          <cell r="P284">
            <v>0</v>
          </cell>
          <cell r="S284" t="str">
            <v xml:space="preserve">32939 </v>
          </cell>
          <cell r="AA284">
            <v>32939</v>
          </cell>
        </row>
        <row r="285">
          <cell r="P285">
            <v>0</v>
          </cell>
          <cell r="S285" t="str">
            <v xml:space="preserve">32939 </v>
          </cell>
          <cell r="AA285">
            <v>32939</v>
          </cell>
        </row>
        <row r="286">
          <cell r="P286">
            <v>0</v>
          </cell>
          <cell r="S286" t="str">
            <v xml:space="preserve">32939 </v>
          </cell>
          <cell r="AA286">
            <v>32939</v>
          </cell>
        </row>
        <row r="287">
          <cell r="P287">
            <v>0</v>
          </cell>
          <cell r="S287" t="str">
            <v xml:space="preserve">32939 </v>
          </cell>
          <cell r="AA287">
            <v>32939</v>
          </cell>
        </row>
        <row r="288">
          <cell r="P288">
            <v>0</v>
          </cell>
          <cell r="S288" t="str">
            <v xml:space="preserve">32939 </v>
          </cell>
          <cell r="AA288">
            <v>32939</v>
          </cell>
        </row>
        <row r="289">
          <cell r="P289">
            <v>0</v>
          </cell>
          <cell r="S289" t="str">
            <v xml:space="preserve">32939 </v>
          </cell>
          <cell r="AA289">
            <v>32939</v>
          </cell>
        </row>
        <row r="290">
          <cell r="P290">
            <v>0</v>
          </cell>
          <cell r="S290" t="str">
            <v xml:space="preserve">32939 </v>
          </cell>
          <cell r="AA290">
            <v>32939</v>
          </cell>
        </row>
        <row r="291">
          <cell r="P291">
            <v>0</v>
          </cell>
          <cell r="S291" t="str">
            <v xml:space="preserve">32939 </v>
          </cell>
          <cell r="AA291">
            <v>32939</v>
          </cell>
        </row>
        <row r="292">
          <cell r="P292">
            <v>0</v>
          </cell>
          <cell r="S292" t="str">
            <v xml:space="preserve">32939 </v>
          </cell>
          <cell r="AA292">
            <v>32939</v>
          </cell>
        </row>
        <row r="293">
          <cell r="P293">
            <v>0</v>
          </cell>
          <cell r="S293" t="str">
            <v xml:space="preserve">32939 </v>
          </cell>
          <cell r="AA293">
            <v>32939</v>
          </cell>
        </row>
        <row r="294">
          <cell r="P294">
            <v>0</v>
          </cell>
          <cell r="S294" t="str">
            <v xml:space="preserve">32939 </v>
          </cell>
          <cell r="AA294">
            <v>32939</v>
          </cell>
        </row>
        <row r="295">
          <cell r="P295">
            <v>0</v>
          </cell>
          <cell r="S295" t="str">
            <v xml:space="preserve">32939 </v>
          </cell>
          <cell r="AA295">
            <v>32939</v>
          </cell>
        </row>
        <row r="296">
          <cell r="P296">
            <v>0</v>
          </cell>
          <cell r="S296" t="str">
            <v xml:space="preserve">32939 </v>
          </cell>
          <cell r="AA296">
            <v>32939</v>
          </cell>
        </row>
        <row r="297">
          <cell r="P297">
            <v>0</v>
          </cell>
          <cell r="S297" t="str">
            <v xml:space="preserve">32939 </v>
          </cell>
          <cell r="AA297">
            <v>32939</v>
          </cell>
        </row>
        <row r="298">
          <cell r="P298">
            <v>0</v>
          </cell>
          <cell r="S298" t="str">
            <v xml:space="preserve">32939 </v>
          </cell>
          <cell r="AA298">
            <v>32939</v>
          </cell>
        </row>
        <row r="299">
          <cell r="P299">
            <v>0</v>
          </cell>
          <cell r="S299" t="str">
            <v xml:space="preserve">32939 </v>
          </cell>
          <cell r="AA299">
            <v>32939</v>
          </cell>
        </row>
        <row r="300">
          <cell r="P300">
            <v>0</v>
          </cell>
          <cell r="S300" t="str">
            <v xml:space="preserve">32939 </v>
          </cell>
          <cell r="AA300">
            <v>32939</v>
          </cell>
        </row>
        <row r="301">
          <cell r="P301">
            <v>0</v>
          </cell>
          <cell r="S301" t="str">
            <v xml:space="preserve">32939 </v>
          </cell>
          <cell r="AA301">
            <v>32939</v>
          </cell>
        </row>
        <row r="302">
          <cell r="P302">
            <v>0</v>
          </cell>
          <cell r="S302" t="str">
            <v xml:space="preserve">32939 </v>
          </cell>
          <cell r="AA302">
            <v>32939</v>
          </cell>
        </row>
        <row r="303">
          <cell r="P303">
            <v>0</v>
          </cell>
          <cell r="S303" t="str">
            <v xml:space="preserve">32939 </v>
          </cell>
          <cell r="AA303">
            <v>32939</v>
          </cell>
        </row>
        <row r="304">
          <cell r="P304">
            <v>0</v>
          </cell>
          <cell r="S304" t="str">
            <v xml:space="preserve">32939 </v>
          </cell>
          <cell r="AA304">
            <v>32939</v>
          </cell>
        </row>
        <row r="305">
          <cell r="P305">
            <v>0</v>
          </cell>
          <cell r="S305" t="str">
            <v xml:space="preserve">32939 </v>
          </cell>
          <cell r="AA305">
            <v>32939</v>
          </cell>
        </row>
        <row r="306">
          <cell r="P306">
            <v>0</v>
          </cell>
          <cell r="S306" t="str">
            <v xml:space="preserve">32939 </v>
          </cell>
          <cell r="AA306">
            <v>32939</v>
          </cell>
        </row>
        <row r="307">
          <cell r="P307">
            <v>0</v>
          </cell>
          <cell r="S307" t="str">
            <v xml:space="preserve">32939 </v>
          </cell>
          <cell r="AA307">
            <v>32939</v>
          </cell>
        </row>
        <row r="308">
          <cell r="P308">
            <v>0</v>
          </cell>
          <cell r="S308" t="str">
            <v xml:space="preserve">32939 </v>
          </cell>
          <cell r="AA308">
            <v>32939</v>
          </cell>
        </row>
        <row r="309">
          <cell r="P309">
            <v>0</v>
          </cell>
          <cell r="S309" t="str">
            <v xml:space="preserve">32939 </v>
          </cell>
          <cell r="AA309">
            <v>32939</v>
          </cell>
        </row>
        <row r="310">
          <cell r="P310">
            <v>0</v>
          </cell>
          <cell r="S310" t="str">
            <v xml:space="preserve">32939 </v>
          </cell>
          <cell r="AA310">
            <v>32939</v>
          </cell>
        </row>
        <row r="311">
          <cell r="P311">
            <v>0</v>
          </cell>
          <cell r="S311" t="str">
            <v xml:space="preserve">32939 </v>
          </cell>
          <cell r="AA311">
            <v>32939</v>
          </cell>
        </row>
        <row r="312">
          <cell r="P312">
            <v>0</v>
          </cell>
          <cell r="S312" t="str">
            <v xml:space="preserve">32939 </v>
          </cell>
          <cell r="AA312">
            <v>32939</v>
          </cell>
        </row>
        <row r="313">
          <cell r="P313">
            <v>0</v>
          </cell>
          <cell r="S313" t="str">
            <v xml:space="preserve">32939 </v>
          </cell>
          <cell r="AA313">
            <v>32939</v>
          </cell>
        </row>
        <row r="314">
          <cell r="P314">
            <v>0</v>
          </cell>
          <cell r="S314" t="str">
            <v xml:space="preserve">32939 </v>
          </cell>
          <cell r="AA314">
            <v>32939</v>
          </cell>
        </row>
        <row r="315">
          <cell r="P315">
            <v>0</v>
          </cell>
          <cell r="S315" t="str">
            <v xml:space="preserve">32939 </v>
          </cell>
          <cell r="AA315">
            <v>32939</v>
          </cell>
        </row>
        <row r="316">
          <cell r="P316">
            <v>0</v>
          </cell>
          <cell r="S316" t="str">
            <v xml:space="preserve">32939 </v>
          </cell>
          <cell r="AA316">
            <v>32939</v>
          </cell>
        </row>
        <row r="317">
          <cell r="P317">
            <v>0</v>
          </cell>
          <cell r="S317" t="str">
            <v xml:space="preserve">32939 </v>
          </cell>
          <cell r="AA317">
            <v>32939</v>
          </cell>
        </row>
        <row r="318">
          <cell r="P318">
            <v>0</v>
          </cell>
          <cell r="S318" t="str">
            <v xml:space="preserve">32939 </v>
          </cell>
          <cell r="AA318">
            <v>32939</v>
          </cell>
        </row>
        <row r="319">
          <cell r="P319">
            <v>0</v>
          </cell>
          <cell r="S319" t="str">
            <v xml:space="preserve">32939 </v>
          </cell>
          <cell r="AA319">
            <v>32939</v>
          </cell>
        </row>
        <row r="320">
          <cell r="P320">
            <v>0</v>
          </cell>
          <cell r="S320" t="str">
            <v xml:space="preserve">32939 </v>
          </cell>
          <cell r="AA320">
            <v>32939</v>
          </cell>
        </row>
        <row r="321">
          <cell r="P321">
            <v>0</v>
          </cell>
          <cell r="S321" t="str">
            <v xml:space="preserve">32939 </v>
          </cell>
          <cell r="AA321">
            <v>32939</v>
          </cell>
        </row>
        <row r="322">
          <cell r="P322">
            <v>0</v>
          </cell>
          <cell r="S322" t="str">
            <v xml:space="preserve">32939 </v>
          </cell>
          <cell r="AA322">
            <v>32939</v>
          </cell>
        </row>
        <row r="323">
          <cell r="P323">
            <v>0</v>
          </cell>
          <cell r="S323" t="str">
            <v xml:space="preserve">32939 </v>
          </cell>
          <cell r="AA323">
            <v>32939</v>
          </cell>
        </row>
        <row r="324">
          <cell r="P324">
            <v>0</v>
          </cell>
          <cell r="S324" t="str">
            <v xml:space="preserve">32939 </v>
          </cell>
          <cell r="AA324">
            <v>32939</v>
          </cell>
        </row>
        <row r="325">
          <cell r="P325">
            <v>0</v>
          </cell>
          <cell r="S325" t="str">
            <v xml:space="preserve">32939 </v>
          </cell>
          <cell r="AA325">
            <v>32939</v>
          </cell>
        </row>
        <row r="326">
          <cell r="P326">
            <v>0</v>
          </cell>
          <cell r="S326" t="str">
            <v xml:space="preserve">32939 </v>
          </cell>
          <cell r="AA326">
            <v>32939</v>
          </cell>
        </row>
        <row r="327">
          <cell r="P327">
            <v>0</v>
          </cell>
          <cell r="S327" t="str">
            <v xml:space="preserve">32939 </v>
          </cell>
          <cell r="AA327">
            <v>32939</v>
          </cell>
        </row>
        <row r="328">
          <cell r="P328">
            <v>0</v>
          </cell>
          <cell r="S328" t="str">
            <v xml:space="preserve">32939 </v>
          </cell>
          <cell r="AA328">
            <v>32939</v>
          </cell>
        </row>
        <row r="329">
          <cell r="P329">
            <v>0</v>
          </cell>
          <cell r="S329" t="str">
            <v xml:space="preserve">32939 </v>
          </cell>
          <cell r="AA329">
            <v>32939</v>
          </cell>
        </row>
        <row r="330">
          <cell r="P330">
            <v>0</v>
          </cell>
          <cell r="S330" t="str">
            <v xml:space="preserve">32939 </v>
          </cell>
          <cell r="AA330">
            <v>32939</v>
          </cell>
        </row>
        <row r="331">
          <cell r="P331">
            <v>0</v>
          </cell>
          <cell r="S331" t="str">
            <v xml:space="preserve">32939 </v>
          </cell>
          <cell r="AA331">
            <v>32939</v>
          </cell>
        </row>
        <row r="332">
          <cell r="P332">
            <v>0</v>
          </cell>
          <cell r="S332" t="str">
            <v xml:space="preserve">32939 </v>
          </cell>
          <cell r="AA332">
            <v>32939</v>
          </cell>
        </row>
        <row r="333">
          <cell r="P333">
            <v>0</v>
          </cell>
          <cell r="S333" t="str">
            <v xml:space="preserve">32939 </v>
          </cell>
          <cell r="AA333">
            <v>32939</v>
          </cell>
        </row>
        <row r="334">
          <cell r="P334">
            <v>0</v>
          </cell>
          <cell r="S334" t="str">
            <v xml:space="preserve">32939 </v>
          </cell>
          <cell r="AA334">
            <v>32939</v>
          </cell>
        </row>
        <row r="335">
          <cell r="P335">
            <v>0</v>
          </cell>
          <cell r="S335" t="str">
            <v xml:space="preserve">32939 </v>
          </cell>
          <cell r="AA335">
            <v>32939</v>
          </cell>
        </row>
        <row r="336">
          <cell r="P336">
            <v>0</v>
          </cell>
          <cell r="S336" t="str">
            <v xml:space="preserve">32939 </v>
          </cell>
          <cell r="AA336">
            <v>32939</v>
          </cell>
        </row>
        <row r="337">
          <cell r="P337">
            <v>0</v>
          </cell>
          <cell r="S337" t="str">
            <v xml:space="preserve">32939 </v>
          </cell>
          <cell r="AA337">
            <v>32939</v>
          </cell>
        </row>
        <row r="338">
          <cell r="P338">
            <v>0</v>
          </cell>
          <cell r="S338" t="str">
            <v xml:space="preserve">32939 </v>
          </cell>
          <cell r="AA338">
            <v>32939</v>
          </cell>
        </row>
        <row r="339">
          <cell r="P339">
            <v>0</v>
          </cell>
          <cell r="S339" t="str">
            <v xml:space="preserve">32939 </v>
          </cell>
          <cell r="AA339">
            <v>32939</v>
          </cell>
        </row>
        <row r="340">
          <cell r="P340">
            <v>0</v>
          </cell>
          <cell r="S340" t="str">
            <v xml:space="preserve">32939 </v>
          </cell>
          <cell r="AA340">
            <v>32939</v>
          </cell>
        </row>
        <row r="341">
          <cell r="P341">
            <v>0</v>
          </cell>
          <cell r="S341" t="str">
            <v xml:space="preserve">32939 </v>
          </cell>
          <cell r="AA341">
            <v>32939</v>
          </cell>
        </row>
        <row r="342">
          <cell r="P342">
            <v>0</v>
          </cell>
          <cell r="S342" t="str">
            <v xml:space="preserve">32939 </v>
          </cell>
          <cell r="AA342">
            <v>32939</v>
          </cell>
        </row>
        <row r="343">
          <cell r="P343">
            <v>0</v>
          </cell>
          <cell r="S343" t="str">
            <v xml:space="preserve">32939 </v>
          </cell>
          <cell r="AA343">
            <v>32939</v>
          </cell>
        </row>
        <row r="344">
          <cell r="P344">
            <v>0</v>
          </cell>
          <cell r="S344" t="str">
            <v xml:space="preserve">32939 </v>
          </cell>
          <cell r="AA344">
            <v>32939</v>
          </cell>
        </row>
        <row r="345">
          <cell r="P345">
            <v>0</v>
          </cell>
          <cell r="S345" t="str">
            <v xml:space="preserve">32939 </v>
          </cell>
          <cell r="AA345">
            <v>32939</v>
          </cell>
        </row>
        <row r="346">
          <cell r="P346">
            <v>0</v>
          </cell>
          <cell r="S346" t="str">
            <v xml:space="preserve">32939 </v>
          </cell>
          <cell r="AA346">
            <v>32939</v>
          </cell>
        </row>
        <row r="347">
          <cell r="P347">
            <v>0</v>
          </cell>
          <cell r="S347" t="str">
            <v xml:space="preserve">32939 </v>
          </cell>
          <cell r="AA347">
            <v>32939</v>
          </cell>
        </row>
        <row r="348">
          <cell r="P348">
            <v>0</v>
          </cell>
          <cell r="S348" t="str">
            <v xml:space="preserve">32939 </v>
          </cell>
          <cell r="AA348">
            <v>32939</v>
          </cell>
        </row>
        <row r="349">
          <cell r="P349">
            <v>0</v>
          </cell>
          <cell r="S349" t="str">
            <v xml:space="preserve">32939 </v>
          </cell>
          <cell r="AA349">
            <v>32939</v>
          </cell>
        </row>
        <row r="350">
          <cell r="P350">
            <v>0</v>
          </cell>
          <cell r="S350" t="str">
            <v xml:space="preserve">32939 </v>
          </cell>
          <cell r="AA350">
            <v>32939</v>
          </cell>
        </row>
        <row r="351">
          <cell r="P351">
            <v>0</v>
          </cell>
          <cell r="S351" t="str">
            <v xml:space="preserve">32939 </v>
          </cell>
          <cell r="AA351">
            <v>32939</v>
          </cell>
        </row>
        <row r="352">
          <cell r="P352">
            <v>0</v>
          </cell>
          <cell r="S352" t="str">
            <v xml:space="preserve">32939 </v>
          </cell>
          <cell r="AA352">
            <v>32939</v>
          </cell>
        </row>
        <row r="353">
          <cell r="P353">
            <v>0</v>
          </cell>
          <cell r="S353" t="str">
            <v xml:space="preserve">32939 </v>
          </cell>
          <cell r="AA353">
            <v>32939</v>
          </cell>
        </row>
        <row r="354">
          <cell r="P354">
            <v>0</v>
          </cell>
          <cell r="S354" t="str">
            <v xml:space="preserve">32939 </v>
          </cell>
          <cell r="AA354">
            <v>32939</v>
          </cell>
        </row>
        <row r="355">
          <cell r="P355">
            <v>0</v>
          </cell>
          <cell r="S355" t="str">
            <v xml:space="preserve">32939 </v>
          </cell>
          <cell r="AA355">
            <v>32939</v>
          </cell>
        </row>
        <row r="356">
          <cell r="P356">
            <v>0</v>
          </cell>
          <cell r="S356" t="str">
            <v xml:space="preserve">32939 </v>
          </cell>
          <cell r="AA356">
            <v>32939</v>
          </cell>
        </row>
        <row r="357">
          <cell r="P357">
            <v>0</v>
          </cell>
          <cell r="S357" t="str">
            <v xml:space="preserve">32939 </v>
          </cell>
          <cell r="AA357">
            <v>32939</v>
          </cell>
        </row>
        <row r="358">
          <cell r="P358">
            <v>0</v>
          </cell>
          <cell r="S358" t="str">
            <v xml:space="preserve">32939 </v>
          </cell>
          <cell r="AA358">
            <v>32939</v>
          </cell>
        </row>
        <row r="359">
          <cell r="P359">
            <v>0</v>
          </cell>
          <cell r="S359" t="str">
            <v xml:space="preserve">32939 </v>
          </cell>
          <cell r="AA359">
            <v>32939</v>
          </cell>
        </row>
        <row r="360">
          <cell r="P360">
            <v>0</v>
          </cell>
          <cell r="S360" t="str">
            <v xml:space="preserve">32939 </v>
          </cell>
          <cell r="AA360">
            <v>32939</v>
          </cell>
        </row>
        <row r="361">
          <cell r="P361">
            <v>0</v>
          </cell>
          <cell r="S361" t="str">
            <v xml:space="preserve">32939 </v>
          </cell>
          <cell r="AA361">
            <v>32939</v>
          </cell>
        </row>
        <row r="362">
          <cell r="P362">
            <v>0</v>
          </cell>
          <cell r="S362" t="str">
            <v xml:space="preserve">32939 </v>
          </cell>
          <cell r="AA362">
            <v>32939</v>
          </cell>
        </row>
        <row r="363">
          <cell r="P363">
            <v>0</v>
          </cell>
          <cell r="S363" t="str">
            <v xml:space="preserve">32939 </v>
          </cell>
          <cell r="AA363">
            <v>32939</v>
          </cell>
        </row>
        <row r="364">
          <cell r="P364">
            <v>0</v>
          </cell>
          <cell r="S364" t="str">
            <v xml:space="preserve">32939 </v>
          </cell>
          <cell r="AA364">
            <v>32939</v>
          </cell>
        </row>
        <row r="365">
          <cell r="P365">
            <v>0</v>
          </cell>
          <cell r="S365" t="str">
            <v xml:space="preserve">32939 </v>
          </cell>
          <cell r="AA365">
            <v>32939</v>
          </cell>
        </row>
        <row r="366">
          <cell r="P366">
            <v>0</v>
          </cell>
          <cell r="S366" t="str">
            <v xml:space="preserve">32939 </v>
          </cell>
          <cell r="AA366">
            <v>32939</v>
          </cell>
        </row>
        <row r="367">
          <cell r="P367">
            <v>0</v>
          </cell>
          <cell r="S367" t="str">
            <v xml:space="preserve">32939 </v>
          </cell>
          <cell r="AA367">
            <v>32939</v>
          </cell>
        </row>
        <row r="368">
          <cell r="P368">
            <v>0</v>
          </cell>
          <cell r="S368" t="str">
            <v xml:space="preserve">32939 </v>
          </cell>
          <cell r="AA368">
            <v>32939</v>
          </cell>
        </row>
        <row r="369">
          <cell r="P369">
            <v>0</v>
          </cell>
          <cell r="S369" t="str">
            <v xml:space="preserve">32939 </v>
          </cell>
          <cell r="AA369">
            <v>32939</v>
          </cell>
        </row>
        <row r="370">
          <cell r="P370">
            <v>0</v>
          </cell>
          <cell r="S370" t="str">
            <v xml:space="preserve">32939 </v>
          </cell>
          <cell r="AA370">
            <v>32939</v>
          </cell>
        </row>
        <row r="371">
          <cell r="P371">
            <v>0</v>
          </cell>
          <cell r="S371" t="str">
            <v xml:space="preserve">32939 </v>
          </cell>
          <cell r="AA371">
            <v>32939</v>
          </cell>
        </row>
        <row r="372">
          <cell r="P372">
            <v>0</v>
          </cell>
          <cell r="S372" t="str">
            <v xml:space="preserve">32939 </v>
          </cell>
          <cell r="AA372">
            <v>32939</v>
          </cell>
        </row>
        <row r="373">
          <cell r="P373">
            <v>0</v>
          </cell>
          <cell r="S373" t="str">
            <v xml:space="preserve">32939 </v>
          </cell>
          <cell r="AA373">
            <v>32939</v>
          </cell>
        </row>
        <row r="374">
          <cell r="P374">
            <v>0</v>
          </cell>
          <cell r="S374" t="str">
            <v xml:space="preserve">32939 </v>
          </cell>
          <cell r="AA374">
            <v>32939</v>
          </cell>
        </row>
        <row r="375">
          <cell r="P375">
            <v>0</v>
          </cell>
          <cell r="S375" t="str">
            <v xml:space="preserve">32939 </v>
          </cell>
          <cell r="AA375">
            <v>32939</v>
          </cell>
        </row>
        <row r="376">
          <cell r="P376">
            <v>0</v>
          </cell>
          <cell r="S376" t="str">
            <v xml:space="preserve">32939 </v>
          </cell>
          <cell r="AA376">
            <v>32939</v>
          </cell>
        </row>
        <row r="377">
          <cell r="P377">
            <v>0</v>
          </cell>
          <cell r="S377" t="str">
            <v xml:space="preserve">32939 </v>
          </cell>
          <cell r="AA377">
            <v>32939</v>
          </cell>
        </row>
        <row r="378">
          <cell r="P378">
            <v>0</v>
          </cell>
          <cell r="S378" t="str">
            <v xml:space="preserve">32939 </v>
          </cell>
          <cell r="AA378">
            <v>32939</v>
          </cell>
        </row>
        <row r="379">
          <cell r="P379">
            <v>0</v>
          </cell>
          <cell r="S379" t="str">
            <v xml:space="preserve">32939 </v>
          </cell>
          <cell r="AA379">
            <v>32939</v>
          </cell>
        </row>
        <row r="380">
          <cell r="P380">
            <v>0</v>
          </cell>
          <cell r="S380" t="str">
            <v xml:space="preserve">32939 </v>
          </cell>
          <cell r="AA380">
            <v>32939</v>
          </cell>
        </row>
        <row r="381">
          <cell r="P381">
            <v>0</v>
          </cell>
          <cell r="S381" t="str">
            <v xml:space="preserve">32939 </v>
          </cell>
          <cell r="AA381">
            <v>32939</v>
          </cell>
        </row>
        <row r="382">
          <cell r="P382">
            <v>0</v>
          </cell>
          <cell r="S382" t="str">
            <v xml:space="preserve">32939 </v>
          </cell>
          <cell r="AA382">
            <v>32939</v>
          </cell>
        </row>
        <row r="383">
          <cell r="P383">
            <v>0</v>
          </cell>
          <cell r="S383" t="str">
            <v xml:space="preserve">32939 </v>
          </cell>
          <cell r="AA383">
            <v>32939</v>
          </cell>
        </row>
        <row r="384">
          <cell r="P384">
            <v>0</v>
          </cell>
          <cell r="S384" t="str">
            <v xml:space="preserve">32939 </v>
          </cell>
          <cell r="AA384">
            <v>32939</v>
          </cell>
        </row>
        <row r="385">
          <cell r="P385">
            <v>0</v>
          </cell>
          <cell r="S385" t="str">
            <v xml:space="preserve">32939 </v>
          </cell>
          <cell r="AA385">
            <v>32939</v>
          </cell>
        </row>
        <row r="386">
          <cell r="P386">
            <v>0</v>
          </cell>
          <cell r="S386" t="str">
            <v xml:space="preserve">32939 </v>
          </cell>
          <cell r="AA386">
            <v>32939</v>
          </cell>
        </row>
        <row r="387">
          <cell r="P387">
            <v>0</v>
          </cell>
          <cell r="S387" t="str">
            <v xml:space="preserve">32939 </v>
          </cell>
          <cell r="AA387">
            <v>32939</v>
          </cell>
        </row>
        <row r="388">
          <cell r="P388">
            <v>0</v>
          </cell>
          <cell r="S388" t="str">
            <v xml:space="preserve">32939 </v>
          </cell>
          <cell r="AA388">
            <v>32939</v>
          </cell>
        </row>
        <row r="389">
          <cell r="P389">
            <v>0</v>
          </cell>
          <cell r="S389" t="str">
            <v xml:space="preserve">32939 </v>
          </cell>
          <cell r="AA389">
            <v>32939</v>
          </cell>
        </row>
        <row r="390">
          <cell r="P390">
            <v>0</v>
          </cell>
          <cell r="S390" t="str">
            <v xml:space="preserve">32939 </v>
          </cell>
          <cell r="AA390">
            <v>32939</v>
          </cell>
        </row>
        <row r="391">
          <cell r="P391">
            <v>0</v>
          </cell>
          <cell r="S391" t="str">
            <v xml:space="preserve">32939 </v>
          </cell>
          <cell r="AA391">
            <v>32939</v>
          </cell>
        </row>
        <row r="392">
          <cell r="P392">
            <v>0</v>
          </cell>
          <cell r="S392" t="str">
            <v xml:space="preserve">32939 </v>
          </cell>
          <cell r="AA392">
            <v>32939</v>
          </cell>
        </row>
        <row r="393">
          <cell r="P393">
            <v>0</v>
          </cell>
          <cell r="S393" t="str">
            <v xml:space="preserve">32939 </v>
          </cell>
          <cell r="AA393">
            <v>32939</v>
          </cell>
        </row>
        <row r="394">
          <cell r="P394">
            <v>0</v>
          </cell>
          <cell r="S394" t="str">
            <v xml:space="preserve">32939 </v>
          </cell>
          <cell r="AA394">
            <v>32939</v>
          </cell>
        </row>
        <row r="395">
          <cell r="P395">
            <v>0</v>
          </cell>
          <cell r="S395" t="str">
            <v xml:space="preserve">32939 </v>
          </cell>
          <cell r="AA395">
            <v>32939</v>
          </cell>
        </row>
        <row r="396">
          <cell r="P396">
            <v>0</v>
          </cell>
          <cell r="S396" t="str">
            <v xml:space="preserve">32939 </v>
          </cell>
          <cell r="AA396">
            <v>32939</v>
          </cell>
        </row>
        <row r="397">
          <cell r="P397">
            <v>0</v>
          </cell>
          <cell r="S397" t="str">
            <v xml:space="preserve">32939 </v>
          </cell>
          <cell r="AA397">
            <v>32939</v>
          </cell>
        </row>
        <row r="398">
          <cell r="P398">
            <v>0</v>
          </cell>
          <cell r="S398" t="str">
            <v xml:space="preserve">32939 </v>
          </cell>
          <cell r="AA398">
            <v>32939</v>
          </cell>
        </row>
        <row r="399">
          <cell r="P399">
            <v>0</v>
          </cell>
          <cell r="S399" t="str">
            <v xml:space="preserve">32939 </v>
          </cell>
          <cell r="AA399">
            <v>32939</v>
          </cell>
        </row>
        <row r="400">
          <cell r="P400">
            <v>0</v>
          </cell>
          <cell r="S400" t="str">
            <v xml:space="preserve">32939 </v>
          </cell>
          <cell r="AA400">
            <v>32939</v>
          </cell>
        </row>
        <row r="401">
          <cell r="P401">
            <v>0</v>
          </cell>
          <cell r="S401" t="str">
            <v xml:space="preserve">32939 </v>
          </cell>
          <cell r="AA401">
            <v>32939</v>
          </cell>
        </row>
        <row r="402">
          <cell r="P402">
            <v>0</v>
          </cell>
          <cell r="S402" t="str">
            <v xml:space="preserve">32939 </v>
          </cell>
          <cell r="AA402">
            <v>32939</v>
          </cell>
        </row>
        <row r="403">
          <cell r="P403">
            <v>0</v>
          </cell>
          <cell r="S403" t="str">
            <v xml:space="preserve">32939 </v>
          </cell>
          <cell r="AA403">
            <v>32939</v>
          </cell>
        </row>
        <row r="404">
          <cell r="P404">
            <v>0</v>
          </cell>
          <cell r="S404" t="str">
            <v xml:space="preserve">32939 </v>
          </cell>
          <cell r="AA404">
            <v>32939</v>
          </cell>
        </row>
        <row r="405">
          <cell r="P405">
            <v>0</v>
          </cell>
          <cell r="S405" t="str">
            <v xml:space="preserve">32939 </v>
          </cell>
          <cell r="AA405">
            <v>32939</v>
          </cell>
        </row>
        <row r="406">
          <cell r="P406">
            <v>0</v>
          </cell>
          <cell r="S406" t="str">
            <v xml:space="preserve">32939 </v>
          </cell>
          <cell r="AA406">
            <v>32939</v>
          </cell>
        </row>
        <row r="407">
          <cell r="P407">
            <v>0</v>
          </cell>
          <cell r="S407" t="str">
            <v xml:space="preserve">32939 </v>
          </cell>
          <cell r="AA407">
            <v>32939</v>
          </cell>
        </row>
        <row r="408">
          <cell r="P408">
            <v>0</v>
          </cell>
          <cell r="S408" t="str">
            <v xml:space="preserve">32939 </v>
          </cell>
          <cell r="AA408">
            <v>32939</v>
          </cell>
        </row>
        <row r="409">
          <cell r="P409">
            <v>0</v>
          </cell>
          <cell r="S409" t="str">
            <v xml:space="preserve">32939 </v>
          </cell>
          <cell r="AA409">
            <v>32939</v>
          </cell>
        </row>
        <row r="410">
          <cell r="P410">
            <v>0</v>
          </cell>
          <cell r="S410" t="str">
            <v xml:space="preserve">32939 </v>
          </cell>
          <cell r="AA410">
            <v>32939</v>
          </cell>
        </row>
        <row r="411">
          <cell r="P411">
            <v>0</v>
          </cell>
          <cell r="S411" t="str">
            <v xml:space="preserve">32939 </v>
          </cell>
          <cell r="AA411">
            <v>32939</v>
          </cell>
        </row>
        <row r="412">
          <cell r="P412">
            <v>0</v>
          </cell>
          <cell r="S412" t="str">
            <v xml:space="preserve">32939 </v>
          </cell>
          <cell r="AA412">
            <v>32939</v>
          </cell>
        </row>
        <row r="413">
          <cell r="P413">
            <v>0</v>
          </cell>
          <cell r="S413" t="str">
            <v xml:space="preserve">32939 </v>
          </cell>
          <cell r="AA413">
            <v>32939</v>
          </cell>
        </row>
        <row r="414">
          <cell r="P414">
            <v>0</v>
          </cell>
          <cell r="S414" t="str">
            <v xml:space="preserve">32939 </v>
          </cell>
          <cell r="AA414">
            <v>32939</v>
          </cell>
        </row>
        <row r="415">
          <cell r="P415">
            <v>0</v>
          </cell>
          <cell r="S415" t="str">
            <v xml:space="preserve">32939 </v>
          </cell>
          <cell r="AA415">
            <v>32939</v>
          </cell>
        </row>
        <row r="416">
          <cell r="P416">
            <v>0</v>
          </cell>
          <cell r="S416" t="str">
            <v xml:space="preserve">32939 </v>
          </cell>
          <cell r="AA416">
            <v>32939</v>
          </cell>
        </row>
        <row r="417">
          <cell r="P417">
            <v>0</v>
          </cell>
          <cell r="S417" t="str">
            <v xml:space="preserve">32939 </v>
          </cell>
          <cell r="AA417">
            <v>32939</v>
          </cell>
        </row>
        <row r="418">
          <cell r="P418">
            <v>0</v>
          </cell>
          <cell r="S418" t="str">
            <v xml:space="preserve">32939 </v>
          </cell>
          <cell r="AA418">
            <v>32939</v>
          </cell>
        </row>
        <row r="419">
          <cell r="P419">
            <v>0</v>
          </cell>
          <cell r="S419" t="str">
            <v xml:space="preserve">32939 </v>
          </cell>
          <cell r="AA419">
            <v>32939</v>
          </cell>
        </row>
        <row r="420">
          <cell r="P420">
            <v>0</v>
          </cell>
          <cell r="S420" t="str">
            <v xml:space="preserve">32939 </v>
          </cell>
          <cell r="AA420">
            <v>32939</v>
          </cell>
        </row>
        <row r="421">
          <cell r="P421">
            <v>0</v>
          </cell>
          <cell r="S421" t="str">
            <v xml:space="preserve">32939 </v>
          </cell>
          <cell r="AA421">
            <v>32939</v>
          </cell>
        </row>
        <row r="422">
          <cell r="P422">
            <v>0</v>
          </cell>
          <cell r="S422" t="str">
            <v xml:space="preserve">32939 </v>
          </cell>
          <cell r="AA422">
            <v>32939</v>
          </cell>
        </row>
        <row r="423">
          <cell r="P423">
            <v>0</v>
          </cell>
          <cell r="S423" t="str">
            <v xml:space="preserve">32939 </v>
          </cell>
          <cell r="AA423">
            <v>32939</v>
          </cell>
        </row>
        <row r="424">
          <cell r="P424">
            <v>0</v>
          </cell>
          <cell r="S424" t="str">
            <v xml:space="preserve">32939 </v>
          </cell>
          <cell r="AA424">
            <v>32939</v>
          </cell>
        </row>
        <row r="425">
          <cell r="P425">
            <v>0</v>
          </cell>
          <cell r="S425" t="str">
            <v xml:space="preserve">32939 </v>
          </cell>
          <cell r="AA425">
            <v>32939</v>
          </cell>
        </row>
        <row r="426">
          <cell r="P426">
            <v>0</v>
          </cell>
          <cell r="S426" t="str">
            <v xml:space="preserve">32939 </v>
          </cell>
          <cell r="AA426">
            <v>32939</v>
          </cell>
        </row>
        <row r="427">
          <cell r="P427">
            <v>0</v>
          </cell>
          <cell r="S427" t="str">
            <v xml:space="preserve">32939 </v>
          </cell>
          <cell r="AA427">
            <v>32939</v>
          </cell>
        </row>
        <row r="428">
          <cell r="P428">
            <v>0</v>
          </cell>
          <cell r="S428" t="str">
            <v xml:space="preserve">32939 </v>
          </cell>
          <cell r="AA428">
            <v>32939</v>
          </cell>
        </row>
        <row r="429">
          <cell r="P429">
            <v>0</v>
          </cell>
          <cell r="S429" t="str">
            <v xml:space="preserve">32939 </v>
          </cell>
          <cell r="AA429">
            <v>32939</v>
          </cell>
        </row>
        <row r="430">
          <cell r="P430">
            <v>0</v>
          </cell>
          <cell r="S430" t="str">
            <v xml:space="preserve">32939 </v>
          </cell>
          <cell r="AA430">
            <v>32939</v>
          </cell>
        </row>
        <row r="431">
          <cell r="P431">
            <v>0</v>
          </cell>
          <cell r="S431" t="str">
            <v xml:space="preserve">32939 </v>
          </cell>
          <cell r="AA431">
            <v>32939</v>
          </cell>
        </row>
        <row r="432">
          <cell r="P432">
            <v>0</v>
          </cell>
          <cell r="S432" t="str">
            <v xml:space="preserve">32939 </v>
          </cell>
          <cell r="AA432">
            <v>32939</v>
          </cell>
        </row>
        <row r="433">
          <cell r="P433">
            <v>0</v>
          </cell>
          <cell r="S433" t="str">
            <v xml:space="preserve">32939 </v>
          </cell>
          <cell r="AA433">
            <v>32939</v>
          </cell>
        </row>
        <row r="434">
          <cell r="P434">
            <v>0</v>
          </cell>
          <cell r="S434" t="str">
            <v xml:space="preserve">32939 </v>
          </cell>
          <cell r="AA434">
            <v>32939</v>
          </cell>
        </row>
        <row r="435">
          <cell r="P435">
            <v>0</v>
          </cell>
          <cell r="S435" t="str">
            <v xml:space="preserve">32939 </v>
          </cell>
          <cell r="AA435">
            <v>32939</v>
          </cell>
        </row>
        <row r="436">
          <cell r="P436">
            <v>0</v>
          </cell>
          <cell r="S436" t="str">
            <v xml:space="preserve">32939 </v>
          </cell>
          <cell r="AA436">
            <v>32939</v>
          </cell>
        </row>
        <row r="437">
          <cell r="P437">
            <v>0</v>
          </cell>
          <cell r="S437" t="str">
            <v xml:space="preserve">32939 </v>
          </cell>
          <cell r="AA437">
            <v>32939</v>
          </cell>
        </row>
        <row r="438">
          <cell r="P438">
            <v>0</v>
          </cell>
          <cell r="S438" t="str">
            <v xml:space="preserve">32939 </v>
          </cell>
          <cell r="AA438">
            <v>32939</v>
          </cell>
        </row>
        <row r="439">
          <cell r="P439">
            <v>0</v>
          </cell>
          <cell r="S439" t="str">
            <v xml:space="preserve">32939 </v>
          </cell>
          <cell r="AA439">
            <v>32939</v>
          </cell>
        </row>
        <row r="440">
          <cell r="P440">
            <v>0</v>
          </cell>
          <cell r="S440" t="str">
            <v xml:space="preserve">32939 </v>
          </cell>
          <cell r="AA440">
            <v>32939</v>
          </cell>
        </row>
        <row r="441">
          <cell r="P441">
            <v>0</v>
          </cell>
          <cell r="S441" t="str">
            <v xml:space="preserve">32939 </v>
          </cell>
          <cell r="AA441">
            <v>32939</v>
          </cell>
        </row>
        <row r="442">
          <cell r="P442">
            <v>0</v>
          </cell>
          <cell r="S442" t="str">
            <v xml:space="preserve">32939 </v>
          </cell>
          <cell r="AA442">
            <v>32939</v>
          </cell>
        </row>
        <row r="443">
          <cell r="P443">
            <v>0</v>
          </cell>
          <cell r="S443" t="str">
            <v xml:space="preserve">32939 </v>
          </cell>
          <cell r="AA443">
            <v>32939</v>
          </cell>
        </row>
        <row r="444">
          <cell r="P444">
            <v>0</v>
          </cell>
          <cell r="S444" t="str">
            <v xml:space="preserve">32939 </v>
          </cell>
          <cell r="AA444">
            <v>32939</v>
          </cell>
        </row>
        <row r="445">
          <cell r="P445">
            <v>0</v>
          </cell>
          <cell r="S445" t="str">
            <v xml:space="preserve">32939 </v>
          </cell>
          <cell r="AA445">
            <v>32939</v>
          </cell>
        </row>
        <row r="446">
          <cell r="P446">
            <v>0</v>
          </cell>
          <cell r="S446" t="str">
            <v xml:space="preserve">32939 </v>
          </cell>
          <cell r="AA446">
            <v>32939</v>
          </cell>
        </row>
        <row r="447">
          <cell r="P447">
            <v>0</v>
          </cell>
          <cell r="S447" t="str">
            <v xml:space="preserve">32939 </v>
          </cell>
          <cell r="AA447">
            <v>32939</v>
          </cell>
        </row>
        <row r="448">
          <cell r="P448">
            <v>0</v>
          </cell>
          <cell r="S448" t="str">
            <v xml:space="preserve">32939 </v>
          </cell>
          <cell r="AA448">
            <v>32939</v>
          </cell>
        </row>
        <row r="449">
          <cell r="P449">
            <v>0</v>
          </cell>
          <cell r="S449" t="str">
            <v xml:space="preserve">32939 </v>
          </cell>
          <cell r="AA449">
            <v>32939</v>
          </cell>
        </row>
        <row r="450">
          <cell r="P450">
            <v>0</v>
          </cell>
          <cell r="S450" t="str">
            <v xml:space="preserve">32939 </v>
          </cell>
          <cell r="AA450">
            <v>32939</v>
          </cell>
        </row>
        <row r="451">
          <cell r="P451">
            <v>0</v>
          </cell>
          <cell r="S451" t="str">
            <v xml:space="preserve">32939 </v>
          </cell>
          <cell r="AA451">
            <v>32939</v>
          </cell>
        </row>
        <row r="452">
          <cell r="P452">
            <v>0</v>
          </cell>
          <cell r="S452" t="str">
            <v xml:space="preserve">32939 </v>
          </cell>
          <cell r="AA452">
            <v>32939</v>
          </cell>
        </row>
        <row r="453">
          <cell r="P453">
            <v>0</v>
          </cell>
          <cell r="S453" t="str">
            <v xml:space="preserve">32939 </v>
          </cell>
          <cell r="AA453">
            <v>32939</v>
          </cell>
        </row>
        <row r="454">
          <cell r="P454">
            <v>0</v>
          </cell>
          <cell r="S454" t="str">
            <v xml:space="preserve">32939 </v>
          </cell>
          <cell r="AA454">
            <v>32939</v>
          </cell>
        </row>
        <row r="455">
          <cell r="P455">
            <v>0</v>
          </cell>
          <cell r="S455" t="str">
            <v xml:space="preserve">32939 </v>
          </cell>
          <cell r="AA455">
            <v>32939</v>
          </cell>
        </row>
        <row r="456">
          <cell r="P456">
            <v>0</v>
          </cell>
          <cell r="S456" t="str">
            <v xml:space="preserve">32939 </v>
          </cell>
          <cell r="AA456">
            <v>32939</v>
          </cell>
        </row>
        <row r="457">
          <cell r="P457">
            <v>0</v>
          </cell>
          <cell r="S457" t="str">
            <v xml:space="preserve">32939 </v>
          </cell>
          <cell r="AA457">
            <v>32939</v>
          </cell>
        </row>
        <row r="458">
          <cell r="P458">
            <v>0</v>
          </cell>
          <cell r="S458" t="str">
            <v xml:space="preserve">32939 </v>
          </cell>
          <cell r="AA458">
            <v>32939</v>
          </cell>
        </row>
        <row r="459">
          <cell r="P459">
            <v>0</v>
          </cell>
          <cell r="S459" t="str">
            <v xml:space="preserve">32939 </v>
          </cell>
          <cell r="AA459">
            <v>32939</v>
          </cell>
        </row>
        <row r="460">
          <cell r="P460">
            <v>0</v>
          </cell>
          <cell r="S460" t="str">
            <v xml:space="preserve">32939 </v>
          </cell>
          <cell r="AA460">
            <v>32939</v>
          </cell>
        </row>
        <row r="461">
          <cell r="P461">
            <v>0</v>
          </cell>
          <cell r="S461" t="str">
            <v xml:space="preserve">32939 </v>
          </cell>
          <cell r="AA461">
            <v>32939</v>
          </cell>
        </row>
        <row r="462">
          <cell r="P462">
            <v>0</v>
          </cell>
          <cell r="S462" t="str">
            <v xml:space="preserve">32939 </v>
          </cell>
          <cell r="AA462">
            <v>32939</v>
          </cell>
        </row>
        <row r="463">
          <cell r="P463">
            <v>0</v>
          </cell>
          <cell r="S463" t="str">
            <v xml:space="preserve">32939 </v>
          </cell>
          <cell r="AA463">
            <v>32939</v>
          </cell>
        </row>
        <row r="464">
          <cell r="P464">
            <v>0</v>
          </cell>
          <cell r="S464" t="str">
            <v xml:space="preserve">32939 </v>
          </cell>
          <cell r="AA464">
            <v>32939</v>
          </cell>
        </row>
        <row r="465">
          <cell r="P465">
            <v>0</v>
          </cell>
          <cell r="S465" t="str">
            <v xml:space="preserve">32939 </v>
          </cell>
          <cell r="AA465">
            <v>32939</v>
          </cell>
        </row>
        <row r="466">
          <cell r="P466">
            <v>0</v>
          </cell>
          <cell r="S466" t="str">
            <v xml:space="preserve">32939 </v>
          </cell>
          <cell r="AA466">
            <v>32939</v>
          </cell>
        </row>
        <row r="467">
          <cell r="P467">
            <v>0</v>
          </cell>
          <cell r="S467" t="str">
            <v xml:space="preserve">32939 </v>
          </cell>
          <cell r="AA467">
            <v>32939</v>
          </cell>
        </row>
        <row r="468">
          <cell r="P468">
            <v>0</v>
          </cell>
          <cell r="S468" t="str">
            <v xml:space="preserve">32939 </v>
          </cell>
          <cell r="AA468">
            <v>32939</v>
          </cell>
        </row>
        <row r="469">
          <cell r="P469">
            <v>0</v>
          </cell>
          <cell r="S469" t="str">
            <v xml:space="preserve">32939 </v>
          </cell>
          <cell r="AA469">
            <v>32939</v>
          </cell>
        </row>
        <row r="470">
          <cell r="P470">
            <v>0</v>
          </cell>
          <cell r="S470" t="str">
            <v xml:space="preserve">32939 </v>
          </cell>
          <cell r="AA470">
            <v>32939</v>
          </cell>
        </row>
        <row r="471">
          <cell r="P471">
            <v>0</v>
          </cell>
          <cell r="S471" t="str">
            <v xml:space="preserve">32939 </v>
          </cell>
          <cell r="AA471">
            <v>32939</v>
          </cell>
        </row>
        <row r="472">
          <cell r="P472">
            <v>0</v>
          </cell>
          <cell r="S472" t="str">
            <v xml:space="preserve">32939 </v>
          </cell>
          <cell r="AA472">
            <v>32939</v>
          </cell>
        </row>
        <row r="473">
          <cell r="P473">
            <v>0</v>
          </cell>
          <cell r="S473" t="str">
            <v xml:space="preserve">32939 </v>
          </cell>
          <cell r="AA473">
            <v>32939</v>
          </cell>
        </row>
        <row r="474">
          <cell r="P474">
            <v>0</v>
          </cell>
          <cell r="S474" t="str">
            <v xml:space="preserve">32939 </v>
          </cell>
          <cell r="AA474">
            <v>32939</v>
          </cell>
        </row>
        <row r="475">
          <cell r="P475">
            <v>0</v>
          </cell>
          <cell r="S475" t="str">
            <v xml:space="preserve">32939 </v>
          </cell>
          <cell r="AA475">
            <v>32939</v>
          </cell>
        </row>
        <row r="476">
          <cell r="P476">
            <v>0</v>
          </cell>
          <cell r="S476" t="str">
            <v xml:space="preserve">32939 </v>
          </cell>
          <cell r="AA476">
            <v>32939</v>
          </cell>
        </row>
        <row r="477">
          <cell r="P477">
            <v>0</v>
          </cell>
          <cell r="S477" t="str">
            <v xml:space="preserve">32939 </v>
          </cell>
          <cell r="AA477">
            <v>32939</v>
          </cell>
        </row>
        <row r="478">
          <cell r="P478">
            <v>0</v>
          </cell>
          <cell r="S478" t="str">
            <v xml:space="preserve">32939 </v>
          </cell>
          <cell r="AA478">
            <v>32939</v>
          </cell>
        </row>
        <row r="479">
          <cell r="P479">
            <v>0</v>
          </cell>
          <cell r="S479" t="str">
            <v xml:space="preserve">32939 </v>
          </cell>
          <cell r="AA479">
            <v>32939</v>
          </cell>
        </row>
        <row r="480">
          <cell r="P480">
            <v>0</v>
          </cell>
          <cell r="S480" t="str">
            <v xml:space="preserve">32939 </v>
          </cell>
          <cell r="AA480">
            <v>32939</v>
          </cell>
        </row>
        <row r="481">
          <cell r="P481">
            <v>0</v>
          </cell>
          <cell r="S481" t="str">
            <v xml:space="preserve">32939 </v>
          </cell>
          <cell r="AA481">
            <v>32939</v>
          </cell>
        </row>
        <row r="482">
          <cell r="P482">
            <v>0</v>
          </cell>
          <cell r="S482" t="str">
            <v xml:space="preserve">32939 </v>
          </cell>
          <cell r="AA482">
            <v>32939</v>
          </cell>
        </row>
        <row r="483">
          <cell r="P483">
            <v>0</v>
          </cell>
          <cell r="S483" t="str">
            <v xml:space="preserve">32939 </v>
          </cell>
          <cell r="AA483">
            <v>32939</v>
          </cell>
        </row>
        <row r="484">
          <cell r="P484">
            <v>0</v>
          </cell>
          <cell r="S484" t="str">
            <v xml:space="preserve">32939 </v>
          </cell>
          <cell r="AA484">
            <v>32939</v>
          </cell>
        </row>
        <row r="485">
          <cell r="P485">
            <v>0</v>
          </cell>
          <cell r="S485" t="str">
            <v xml:space="preserve">32939 </v>
          </cell>
          <cell r="AA485">
            <v>32939</v>
          </cell>
        </row>
        <row r="486">
          <cell r="P486">
            <v>0</v>
          </cell>
          <cell r="S486" t="str">
            <v xml:space="preserve">32939 </v>
          </cell>
          <cell r="AA486">
            <v>32939</v>
          </cell>
        </row>
        <row r="487">
          <cell r="P487">
            <v>0</v>
          </cell>
          <cell r="S487" t="str">
            <v xml:space="preserve">32939 </v>
          </cell>
          <cell r="AA487">
            <v>32939</v>
          </cell>
        </row>
        <row r="488">
          <cell r="P488">
            <v>0</v>
          </cell>
          <cell r="S488" t="str">
            <v xml:space="preserve">32939 </v>
          </cell>
          <cell r="AA488">
            <v>32939</v>
          </cell>
        </row>
        <row r="489">
          <cell r="P489">
            <v>0</v>
          </cell>
          <cell r="S489" t="str">
            <v xml:space="preserve">32939 </v>
          </cell>
          <cell r="AA489">
            <v>32939</v>
          </cell>
        </row>
        <row r="490">
          <cell r="P490">
            <v>0</v>
          </cell>
          <cell r="S490" t="str">
            <v xml:space="preserve">32939 </v>
          </cell>
          <cell r="AA490">
            <v>32939</v>
          </cell>
        </row>
        <row r="491">
          <cell r="P491">
            <v>0</v>
          </cell>
          <cell r="S491" t="str">
            <v xml:space="preserve">32939 </v>
          </cell>
          <cell r="AA491">
            <v>32939</v>
          </cell>
        </row>
        <row r="492">
          <cell r="P492">
            <v>0</v>
          </cell>
          <cell r="S492" t="str">
            <v xml:space="preserve">32939 </v>
          </cell>
          <cell r="AA492">
            <v>32939</v>
          </cell>
        </row>
        <row r="493">
          <cell r="P493">
            <v>0</v>
          </cell>
          <cell r="S493" t="str">
            <v xml:space="preserve">32939 </v>
          </cell>
          <cell r="AA493">
            <v>32939</v>
          </cell>
        </row>
        <row r="494">
          <cell r="P494">
            <v>0</v>
          </cell>
          <cell r="S494" t="str">
            <v xml:space="preserve">32939 </v>
          </cell>
          <cell r="AA494">
            <v>32939</v>
          </cell>
        </row>
        <row r="495">
          <cell r="P495">
            <v>0</v>
          </cell>
          <cell r="S495" t="str">
            <v xml:space="preserve">32939 </v>
          </cell>
          <cell r="AA495">
            <v>32939</v>
          </cell>
        </row>
        <row r="496">
          <cell r="P496">
            <v>0</v>
          </cell>
          <cell r="S496" t="str">
            <v xml:space="preserve">32939 </v>
          </cell>
          <cell r="AA496">
            <v>32939</v>
          </cell>
        </row>
        <row r="497">
          <cell r="P497">
            <v>0</v>
          </cell>
          <cell r="S497" t="str">
            <v xml:space="preserve">32939 </v>
          </cell>
          <cell r="AA497">
            <v>32939</v>
          </cell>
        </row>
        <row r="498">
          <cell r="P498">
            <v>0</v>
          </cell>
          <cell r="S498" t="str">
            <v xml:space="preserve">32939 </v>
          </cell>
          <cell r="AA498">
            <v>32939</v>
          </cell>
        </row>
        <row r="499">
          <cell r="P499">
            <v>0</v>
          </cell>
          <cell r="S499" t="str">
            <v xml:space="preserve">32939 </v>
          </cell>
          <cell r="AA499">
            <v>32939</v>
          </cell>
        </row>
        <row r="500">
          <cell r="P500">
            <v>0</v>
          </cell>
          <cell r="S500" t="str">
            <v xml:space="preserve">32939 </v>
          </cell>
          <cell r="AA500">
            <v>32939</v>
          </cell>
        </row>
        <row r="501">
          <cell r="P501">
            <v>0</v>
          </cell>
          <cell r="S501" t="str">
            <v xml:space="preserve">32939 </v>
          </cell>
          <cell r="AA501">
            <v>32939</v>
          </cell>
        </row>
        <row r="502">
          <cell r="P502">
            <v>0</v>
          </cell>
          <cell r="S502" t="str">
            <v xml:space="preserve">32939 </v>
          </cell>
          <cell r="AA502">
            <v>32939</v>
          </cell>
        </row>
        <row r="503">
          <cell r="P503">
            <v>0</v>
          </cell>
          <cell r="S503" t="str">
            <v xml:space="preserve">32939 </v>
          </cell>
          <cell r="AA503">
            <v>32939</v>
          </cell>
        </row>
        <row r="504">
          <cell r="P504">
            <v>0</v>
          </cell>
          <cell r="S504" t="str">
            <v xml:space="preserve">32939 </v>
          </cell>
          <cell r="AA504">
            <v>32939</v>
          </cell>
        </row>
        <row r="505">
          <cell r="P505">
            <v>0</v>
          </cell>
          <cell r="S505" t="str">
            <v xml:space="preserve">32939 </v>
          </cell>
          <cell r="AA505">
            <v>32939</v>
          </cell>
        </row>
        <row r="506">
          <cell r="P506">
            <v>0</v>
          </cell>
          <cell r="S506" t="str">
            <v xml:space="preserve">32939 </v>
          </cell>
          <cell r="AA506">
            <v>32939</v>
          </cell>
        </row>
        <row r="507">
          <cell r="P507">
            <v>0</v>
          </cell>
          <cell r="S507" t="str">
            <v xml:space="preserve">32939 </v>
          </cell>
          <cell r="AA507">
            <v>32939</v>
          </cell>
        </row>
        <row r="508">
          <cell r="P508">
            <v>0</v>
          </cell>
          <cell r="S508" t="str">
            <v xml:space="preserve">32939 </v>
          </cell>
          <cell r="AA508">
            <v>32939</v>
          </cell>
        </row>
        <row r="509">
          <cell r="P509">
            <v>0</v>
          </cell>
          <cell r="S509" t="str">
            <v xml:space="preserve">32939 </v>
          </cell>
          <cell r="AA509">
            <v>32939</v>
          </cell>
        </row>
        <row r="510">
          <cell r="P510">
            <v>0</v>
          </cell>
          <cell r="S510" t="str">
            <v xml:space="preserve">32939 </v>
          </cell>
          <cell r="AA510">
            <v>32939</v>
          </cell>
        </row>
        <row r="511">
          <cell r="P511">
            <v>0</v>
          </cell>
          <cell r="S511" t="str">
            <v xml:space="preserve">32939 </v>
          </cell>
          <cell r="AA511">
            <v>32939</v>
          </cell>
        </row>
        <row r="512">
          <cell r="P512">
            <v>0</v>
          </cell>
          <cell r="S512" t="str">
            <v xml:space="preserve">32939 </v>
          </cell>
          <cell r="AA512">
            <v>32939</v>
          </cell>
        </row>
        <row r="513">
          <cell r="P513">
            <v>0</v>
          </cell>
          <cell r="S513" t="str">
            <v xml:space="preserve">32939 </v>
          </cell>
          <cell r="AA513">
            <v>32939</v>
          </cell>
        </row>
        <row r="514">
          <cell r="P514">
            <v>0</v>
          </cell>
          <cell r="S514" t="str">
            <v xml:space="preserve">32939 </v>
          </cell>
          <cell r="AA514">
            <v>32939</v>
          </cell>
        </row>
        <row r="515">
          <cell r="P515">
            <v>0</v>
          </cell>
          <cell r="S515" t="str">
            <v xml:space="preserve">32939 </v>
          </cell>
          <cell r="AA515">
            <v>32939</v>
          </cell>
        </row>
        <row r="516">
          <cell r="P516">
            <v>0</v>
          </cell>
          <cell r="S516" t="str">
            <v xml:space="preserve">32939 </v>
          </cell>
          <cell r="AA516">
            <v>32939</v>
          </cell>
        </row>
        <row r="517">
          <cell r="P517">
            <v>0</v>
          </cell>
          <cell r="S517" t="str">
            <v xml:space="preserve">32939 </v>
          </cell>
          <cell r="AA517">
            <v>32939</v>
          </cell>
        </row>
        <row r="518">
          <cell r="P518">
            <v>0</v>
          </cell>
          <cell r="S518" t="str">
            <v xml:space="preserve">32939 </v>
          </cell>
          <cell r="AA518">
            <v>32939</v>
          </cell>
        </row>
        <row r="519">
          <cell r="P519">
            <v>0</v>
          </cell>
          <cell r="S519" t="str">
            <v xml:space="preserve">32939 </v>
          </cell>
          <cell r="AA519">
            <v>32939</v>
          </cell>
        </row>
        <row r="520">
          <cell r="P520">
            <v>0</v>
          </cell>
          <cell r="S520" t="str">
            <v xml:space="preserve">32939 </v>
          </cell>
          <cell r="AA520">
            <v>32939</v>
          </cell>
        </row>
        <row r="521">
          <cell r="P521">
            <v>0</v>
          </cell>
          <cell r="S521" t="str">
            <v xml:space="preserve">32939 </v>
          </cell>
          <cell r="AA521">
            <v>32939</v>
          </cell>
        </row>
        <row r="522">
          <cell r="P522">
            <v>0</v>
          </cell>
          <cell r="S522" t="str">
            <v xml:space="preserve">32939 </v>
          </cell>
          <cell r="AA522">
            <v>32939</v>
          </cell>
        </row>
        <row r="523">
          <cell r="P523">
            <v>0</v>
          </cell>
          <cell r="S523" t="str">
            <v xml:space="preserve">32939 </v>
          </cell>
          <cell r="AA523">
            <v>32939</v>
          </cell>
        </row>
        <row r="524">
          <cell r="P524">
            <v>0</v>
          </cell>
          <cell r="S524" t="str">
            <v xml:space="preserve">32939 </v>
          </cell>
          <cell r="AA524">
            <v>32939</v>
          </cell>
        </row>
        <row r="525">
          <cell r="P525">
            <v>0</v>
          </cell>
          <cell r="S525" t="str">
            <v xml:space="preserve">32939 </v>
          </cell>
          <cell r="AA525">
            <v>32939</v>
          </cell>
        </row>
        <row r="526">
          <cell r="P526">
            <v>0</v>
          </cell>
          <cell r="S526" t="str">
            <v xml:space="preserve">32939 </v>
          </cell>
          <cell r="AA526">
            <v>32939</v>
          </cell>
        </row>
        <row r="527">
          <cell r="P527">
            <v>0</v>
          </cell>
          <cell r="S527" t="str">
            <v xml:space="preserve">32939 </v>
          </cell>
          <cell r="AA527">
            <v>32939</v>
          </cell>
        </row>
        <row r="528">
          <cell r="P528">
            <v>0</v>
          </cell>
          <cell r="S528" t="str">
            <v xml:space="preserve">32939 </v>
          </cell>
          <cell r="AA528">
            <v>32939</v>
          </cell>
        </row>
        <row r="529">
          <cell r="P529">
            <v>0</v>
          </cell>
          <cell r="S529" t="str">
            <v xml:space="preserve">32939 </v>
          </cell>
          <cell r="AA529">
            <v>32939</v>
          </cell>
        </row>
        <row r="530">
          <cell r="P530">
            <v>0</v>
          </cell>
          <cell r="S530" t="str">
            <v xml:space="preserve">32939 </v>
          </cell>
          <cell r="AA530">
            <v>32939</v>
          </cell>
        </row>
        <row r="531">
          <cell r="P531">
            <v>0</v>
          </cell>
          <cell r="S531" t="str">
            <v xml:space="preserve">32939 </v>
          </cell>
          <cell r="AA531">
            <v>32939</v>
          </cell>
        </row>
        <row r="532">
          <cell r="P532">
            <v>0</v>
          </cell>
          <cell r="S532" t="str">
            <v xml:space="preserve">32939 </v>
          </cell>
          <cell r="AA532">
            <v>32939</v>
          </cell>
        </row>
        <row r="533">
          <cell r="P533">
            <v>0</v>
          </cell>
          <cell r="S533" t="str">
            <v xml:space="preserve">32939 </v>
          </cell>
          <cell r="AA533">
            <v>32939</v>
          </cell>
        </row>
        <row r="534">
          <cell r="P534">
            <v>0</v>
          </cell>
          <cell r="S534" t="str">
            <v xml:space="preserve">32939 </v>
          </cell>
          <cell r="AA534">
            <v>32939</v>
          </cell>
        </row>
        <row r="535">
          <cell r="P535">
            <v>0</v>
          </cell>
          <cell r="S535" t="str">
            <v xml:space="preserve">32939 </v>
          </cell>
          <cell r="AA535">
            <v>32939</v>
          </cell>
        </row>
        <row r="536">
          <cell r="P536">
            <v>0</v>
          </cell>
          <cell r="S536" t="str">
            <v xml:space="preserve">32939 </v>
          </cell>
          <cell r="AA536">
            <v>32939</v>
          </cell>
        </row>
        <row r="537">
          <cell r="P537">
            <v>0</v>
          </cell>
          <cell r="S537" t="str">
            <v xml:space="preserve">32939 </v>
          </cell>
          <cell r="AA537">
            <v>32939</v>
          </cell>
        </row>
        <row r="538">
          <cell r="P538">
            <v>0</v>
          </cell>
          <cell r="S538" t="str">
            <v xml:space="preserve">32939 </v>
          </cell>
          <cell r="AA538">
            <v>32939</v>
          </cell>
        </row>
        <row r="539">
          <cell r="P539">
            <v>0</v>
          </cell>
          <cell r="S539" t="str">
            <v xml:space="preserve">32939 </v>
          </cell>
          <cell r="AA539">
            <v>32939</v>
          </cell>
        </row>
        <row r="540">
          <cell r="P540">
            <v>0</v>
          </cell>
          <cell r="S540" t="str">
            <v xml:space="preserve">32939 </v>
          </cell>
          <cell r="AA540">
            <v>32939</v>
          </cell>
        </row>
        <row r="541">
          <cell r="P541">
            <v>0</v>
          </cell>
          <cell r="S541" t="str">
            <v xml:space="preserve">32939 </v>
          </cell>
          <cell r="AA541">
            <v>32939</v>
          </cell>
        </row>
        <row r="542">
          <cell r="P542">
            <v>0</v>
          </cell>
          <cell r="S542" t="str">
            <v xml:space="preserve">32939 </v>
          </cell>
          <cell r="AA542">
            <v>32939</v>
          </cell>
        </row>
        <row r="543">
          <cell r="P543">
            <v>0</v>
          </cell>
          <cell r="S543" t="str">
            <v xml:space="preserve">32939 </v>
          </cell>
          <cell r="AA543">
            <v>32939</v>
          </cell>
        </row>
        <row r="544">
          <cell r="P544">
            <v>0</v>
          </cell>
          <cell r="S544" t="str">
            <v xml:space="preserve">32939 </v>
          </cell>
          <cell r="AA544">
            <v>32939</v>
          </cell>
        </row>
        <row r="545">
          <cell r="P545">
            <v>0</v>
          </cell>
          <cell r="S545" t="str">
            <v xml:space="preserve">32939 </v>
          </cell>
          <cell r="AA545">
            <v>32939</v>
          </cell>
        </row>
        <row r="546">
          <cell r="P546">
            <v>0</v>
          </cell>
          <cell r="S546" t="str">
            <v xml:space="preserve">32939 </v>
          </cell>
          <cell r="AA546">
            <v>32939</v>
          </cell>
        </row>
        <row r="547">
          <cell r="P547">
            <v>0</v>
          </cell>
          <cell r="S547" t="str">
            <v xml:space="preserve">32939 </v>
          </cell>
          <cell r="AA547">
            <v>32939</v>
          </cell>
        </row>
        <row r="548">
          <cell r="P548">
            <v>0</v>
          </cell>
          <cell r="S548" t="str">
            <v xml:space="preserve">32939 </v>
          </cell>
          <cell r="AA548">
            <v>32939</v>
          </cell>
        </row>
        <row r="549">
          <cell r="P549">
            <v>0</v>
          </cell>
          <cell r="S549" t="str">
            <v xml:space="preserve">32939 </v>
          </cell>
          <cell r="AA549">
            <v>32939</v>
          </cell>
        </row>
        <row r="550">
          <cell r="P550">
            <v>0</v>
          </cell>
          <cell r="S550" t="str">
            <v xml:space="preserve">32939 </v>
          </cell>
          <cell r="AA550">
            <v>32939</v>
          </cell>
        </row>
        <row r="551">
          <cell r="P551">
            <v>0</v>
          </cell>
          <cell r="S551" t="str">
            <v xml:space="preserve">32939 </v>
          </cell>
          <cell r="AA551">
            <v>32939</v>
          </cell>
        </row>
        <row r="552">
          <cell r="P552">
            <v>0</v>
          </cell>
          <cell r="S552" t="str">
            <v xml:space="preserve">32939 </v>
          </cell>
          <cell r="AA552">
            <v>32939</v>
          </cell>
        </row>
        <row r="553">
          <cell r="P553">
            <v>0</v>
          </cell>
          <cell r="S553" t="str">
            <v xml:space="preserve">32939 </v>
          </cell>
          <cell r="AA553">
            <v>32939</v>
          </cell>
        </row>
        <row r="554">
          <cell r="P554">
            <v>0</v>
          </cell>
          <cell r="S554" t="str">
            <v xml:space="preserve">32939 </v>
          </cell>
          <cell r="AA554">
            <v>32939</v>
          </cell>
        </row>
        <row r="555">
          <cell r="P555">
            <v>0</v>
          </cell>
          <cell r="S555" t="str">
            <v xml:space="preserve">32939 </v>
          </cell>
          <cell r="AA555">
            <v>32939</v>
          </cell>
        </row>
        <row r="556">
          <cell r="P556">
            <v>0</v>
          </cell>
          <cell r="S556" t="str">
            <v xml:space="preserve">32939 </v>
          </cell>
          <cell r="AA556">
            <v>32939</v>
          </cell>
        </row>
        <row r="557">
          <cell r="P557">
            <v>0</v>
          </cell>
          <cell r="S557" t="str">
            <v xml:space="preserve">32939 </v>
          </cell>
          <cell r="AA557">
            <v>32939</v>
          </cell>
        </row>
        <row r="558">
          <cell r="P558">
            <v>0</v>
          </cell>
          <cell r="S558" t="str">
            <v xml:space="preserve">32939 </v>
          </cell>
          <cell r="AA558">
            <v>32939</v>
          </cell>
        </row>
        <row r="559">
          <cell r="P559">
            <v>0</v>
          </cell>
          <cell r="S559" t="str">
            <v xml:space="preserve">32939 </v>
          </cell>
          <cell r="AA559">
            <v>32939</v>
          </cell>
        </row>
        <row r="560">
          <cell r="P560">
            <v>0</v>
          </cell>
          <cell r="S560" t="str">
            <v xml:space="preserve">32939 </v>
          </cell>
          <cell r="AA560">
            <v>32939</v>
          </cell>
        </row>
        <row r="561">
          <cell r="P561">
            <v>0</v>
          </cell>
          <cell r="S561" t="str">
            <v xml:space="preserve">32939 </v>
          </cell>
          <cell r="AA561">
            <v>32939</v>
          </cell>
        </row>
        <row r="562">
          <cell r="P562">
            <v>0</v>
          </cell>
          <cell r="S562" t="str">
            <v xml:space="preserve">32939 </v>
          </cell>
          <cell r="AA562">
            <v>32939</v>
          </cell>
        </row>
        <row r="563">
          <cell r="P563">
            <v>0</v>
          </cell>
          <cell r="S563" t="str">
            <v xml:space="preserve">32939 </v>
          </cell>
          <cell r="AA563">
            <v>32939</v>
          </cell>
        </row>
        <row r="564">
          <cell r="P564">
            <v>0</v>
          </cell>
          <cell r="S564" t="str">
            <v xml:space="preserve">32939 </v>
          </cell>
          <cell r="AA564">
            <v>32939</v>
          </cell>
        </row>
        <row r="565">
          <cell r="P565">
            <v>0</v>
          </cell>
          <cell r="S565" t="str">
            <v xml:space="preserve">32939 </v>
          </cell>
          <cell r="AA565">
            <v>32939</v>
          </cell>
        </row>
        <row r="566">
          <cell r="P566">
            <v>0</v>
          </cell>
          <cell r="S566" t="str">
            <v xml:space="preserve">32939 </v>
          </cell>
          <cell r="AA566">
            <v>32939</v>
          </cell>
        </row>
        <row r="567">
          <cell r="P567">
            <v>0</v>
          </cell>
          <cell r="S567" t="str">
            <v xml:space="preserve">32939 </v>
          </cell>
          <cell r="AA567">
            <v>32939</v>
          </cell>
        </row>
        <row r="568">
          <cell r="P568">
            <v>0</v>
          </cell>
          <cell r="S568" t="str">
            <v xml:space="preserve">32939 </v>
          </cell>
          <cell r="AA568">
            <v>32939</v>
          </cell>
        </row>
        <row r="569">
          <cell r="P569">
            <v>0</v>
          </cell>
          <cell r="S569" t="str">
            <v xml:space="preserve">32939 </v>
          </cell>
          <cell r="AA569">
            <v>32939</v>
          </cell>
        </row>
        <row r="570">
          <cell r="P570">
            <v>0</v>
          </cell>
          <cell r="S570" t="str">
            <v xml:space="preserve">32939 </v>
          </cell>
          <cell r="AA570">
            <v>32939</v>
          </cell>
        </row>
        <row r="571">
          <cell r="P571">
            <v>0</v>
          </cell>
          <cell r="S571" t="str">
            <v xml:space="preserve">32939 </v>
          </cell>
          <cell r="AA571">
            <v>32939</v>
          </cell>
        </row>
        <row r="572">
          <cell r="P572">
            <v>0</v>
          </cell>
          <cell r="S572" t="str">
            <v xml:space="preserve">32939 </v>
          </cell>
          <cell r="AA572">
            <v>32939</v>
          </cell>
        </row>
        <row r="573">
          <cell r="P573">
            <v>0</v>
          </cell>
          <cell r="S573" t="str">
            <v xml:space="preserve">32939 </v>
          </cell>
          <cell r="AA573">
            <v>32939</v>
          </cell>
        </row>
        <row r="574">
          <cell r="P574">
            <v>0</v>
          </cell>
          <cell r="S574" t="str">
            <v xml:space="preserve">32939 </v>
          </cell>
          <cell r="AA574">
            <v>32939</v>
          </cell>
        </row>
        <row r="575">
          <cell r="P575">
            <v>0</v>
          </cell>
          <cell r="S575" t="str">
            <v xml:space="preserve">32939 </v>
          </cell>
          <cell r="AA575">
            <v>32939</v>
          </cell>
        </row>
        <row r="576">
          <cell r="P576">
            <v>0</v>
          </cell>
          <cell r="S576" t="str">
            <v xml:space="preserve">32939 </v>
          </cell>
          <cell r="AA576">
            <v>32939</v>
          </cell>
        </row>
        <row r="577">
          <cell r="P577">
            <v>0</v>
          </cell>
          <cell r="S577" t="str">
            <v xml:space="preserve">32939 </v>
          </cell>
          <cell r="AA577">
            <v>32939</v>
          </cell>
        </row>
        <row r="578">
          <cell r="P578">
            <v>0</v>
          </cell>
          <cell r="S578" t="str">
            <v xml:space="preserve">32939 </v>
          </cell>
          <cell r="AA578">
            <v>32939</v>
          </cell>
        </row>
        <row r="579">
          <cell r="P579">
            <v>0</v>
          </cell>
          <cell r="S579" t="str">
            <v xml:space="preserve">32939 </v>
          </cell>
          <cell r="AA579">
            <v>32939</v>
          </cell>
        </row>
        <row r="580">
          <cell r="P580">
            <v>0</v>
          </cell>
          <cell r="S580" t="str">
            <v xml:space="preserve">32939 </v>
          </cell>
          <cell r="AA580">
            <v>32939</v>
          </cell>
        </row>
        <row r="581">
          <cell r="P581">
            <v>0</v>
          </cell>
          <cell r="S581" t="str">
            <v xml:space="preserve">32939 </v>
          </cell>
          <cell r="AA581">
            <v>32939</v>
          </cell>
        </row>
        <row r="582">
          <cell r="P582">
            <v>0</v>
          </cell>
          <cell r="S582" t="str">
            <v xml:space="preserve">32939 </v>
          </cell>
          <cell r="AA582">
            <v>32939</v>
          </cell>
        </row>
        <row r="583">
          <cell r="P583">
            <v>0</v>
          </cell>
          <cell r="S583" t="str">
            <v xml:space="preserve">32939 </v>
          </cell>
          <cell r="AA583">
            <v>32939</v>
          </cell>
        </row>
        <row r="584">
          <cell r="P584">
            <v>0</v>
          </cell>
          <cell r="S584" t="str">
            <v xml:space="preserve">32939 </v>
          </cell>
          <cell r="AA584">
            <v>32939</v>
          </cell>
        </row>
        <row r="585">
          <cell r="P585">
            <v>0</v>
          </cell>
          <cell r="S585" t="str">
            <v xml:space="preserve">32939 </v>
          </cell>
          <cell r="AA585">
            <v>32939</v>
          </cell>
        </row>
        <row r="586">
          <cell r="P586">
            <v>0</v>
          </cell>
          <cell r="S586" t="str">
            <v xml:space="preserve">32939 </v>
          </cell>
          <cell r="AA586">
            <v>32939</v>
          </cell>
        </row>
        <row r="587">
          <cell r="P587">
            <v>0</v>
          </cell>
          <cell r="S587" t="str">
            <v xml:space="preserve">32939 </v>
          </cell>
          <cell r="AA587">
            <v>32939</v>
          </cell>
        </row>
        <row r="588">
          <cell r="P588">
            <v>0</v>
          </cell>
          <cell r="S588" t="str">
            <v xml:space="preserve">32939 </v>
          </cell>
          <cell r="AA588">
            <v>32939</v>
          </cell>
        </row>
        <row r="589">
          <cell r="P589">
            <v>0</v>
          </cell>
          <cell r="S589" t="str">
            <v xml:space="preserve">32939 </v>
          </cell>
          <cell r="AA589">
            <v>32939</v>
          </cell>
        </row>
        <row r="590">
          <cell r="P590">
            <v>0</v>
          </cell>
          <cell r="S590" t="str">
            <v xml:space="preserve">32939 </v>
          </cell>
          <cell r="AA590">
            <v>32939</v>
          </cell>
        </row>
        <row r="591">
          <cell r="P591">
            <v>0</v>
          </cell>
          <cell r="S591" t="str">
            <v xml:space="preserve">32939 </v>
          </cell>
          <cell r="AA591">
            <v>32939</v>
          </cell>
        </row>
        <row r="592">
          <cell r="P592">
            <v>0</v>
          </cell>
          <cell r="S592" t="str">
            <v xml:space="preserve">32939 </v>
          </cell>
          <cell r="AA592">
            <v>32939</v>
          </cell>
        </row>
        <row r="593">
          <cell r="P593">
            <v>0</v>
          </cell>
          <cell r="S593" t="str">
            <v xml:space="preserve">32939 </v>
          </cell>
          <cell r="AA593">
            <v>32939</v>
          </cell>
        </row>
        <row r="594">
          <cell r="P594">
            <v>0</v>
          </cell>
          <cell r="S594" t="str">
            <v xml:space="preserve">32939 </v>
          </cell>
          <cell r="AA594">
            <v>32939</v>
          </cell>
        </row>
        <row r="595">
          <cell r="P595">
            <v>0</v>
          </cell>
          <cell r="S595" t="str">
            <v xml:space="preserve">32939 </v>
          </cell>
          <cell r="AA595">
            <v>32939</v>
          </cell>
        </row>
        <row r="596">
          <cell r="P596">
            <v>0</v>
          </cell>
          <cell r="S596" t="str">
            <v xml:space="preserve">32939 </v>
          </cell>
          <cell r="AA596">
            <v>32939</v>
          </cell>
        </row>
        <row r="597">
          <cell r="P597">
            <v>0</v>
          </cell>
          <cell r="S597" t="str">
            <v xml:space="preserve">32939 </v>
          </cell>
          <cell r="AA597">
            <v>32939</v>
          </cell>
        </row>
        <row r="598">
          <cell r="P598">
            <v>0</v>
          </cell>
          <cell r="S598" t="str">
            <v xml:space="preserve">32939 </v>
          </cell>
          <cell r="AA598">
            <v>32939</v>
          </cell>
        </row>
        <row r="599">
          <cell r="P599">
            <v>0</v>
          </cell>
          <cell r="S599" t="str">
            <v xml:space="preserve">32939 </v>
          </cell>
          <cell r="AA599">
            <v>32939</v>
          </cell>
        </row>
        <row r="600">
          <cell r="P600">
            <v>0</v>
          </cell>
          <cell r="S600" t="str">
            <v xml:space="preserve">32939 </v>
          </cell>
          <cell r="AA600">
            <v>32939</v>
          </cell>
        </row>
        <row r="601">
          <cell r="P601">
            <v>0</v>
          </cell>
          <cell r="S601" t="str">
            <v xml:space="preserve">32939 </v>
          </cell>
          <cell r="AA601">
            <v>32939</v>
          </cell>
        </row>
        <row r="602">
          <cell r="P602">
            <v>0</v>
          </cell>
          <cell r="S602" t="str">
            <v xml:space="preserve">32939 </v>
          </cell>
          <cell r="AA602">
            <v>32939</v>
          </cell>
        </row>
        <row r="603">
          <cell r="P603">
            <v>0</v>
          </cell>
          <cell r="S603" t="str">
            <v xml:space="preserve">32939 </v>
          </cell>
          <cell r="AA603">
            <v>32939</v>
          </cell>
        </row>
        <row r="604">
          <cell r="P604">
            <v>0</v>
          </cell>
          <cell r="S604" t="str">
            <v xml:space="preserve">32939 </v>
          </cell>
          <cell r="AA604">
            <v>32939</v>
          </cell>
        </row>
        <row r="605">
          <cell r="P605">
            <v>0</v>
          </cell>
          <cell r="S605" t="str">
            <v xml:space="preserve">32939 </v>
          </cell>
          <cell r="AA605">
            <v>32939</v>
          </cell>
        </row>
        <row r="606">
          <cell r="P606">
            <v>0</v>
          </cell>
          <cell r="S606" t="str">
            <v xml:space="preserve">32939 </v>
          </cell>
          <cell r="AA606">
            <v>32939</v>
          </cell>
        </row>
        <row r="607">
          <cell r="P607">
            <v>0</v>
          </cell>
          <cell r="S607" t="str">
            <v xml:space="preserve">32939 </v>
          </cell>
          <cell r="AA607">
            <v>32939</v>
          </cell>
        </row>
        <row r="608">
          <cell r="P608">
            <v>0</v>
          </cell>
          <cell r="S608" t="str">
            <v xml:space="preserve">32939 </v>
          </cell>
          <cell r="AA608">
            <v>32939</v>
          </cell>
        </row>
        <row r="609">
          <cell r="P609">
            <v>0</v>
          </cell>
          <cell r="S609" t="str">
            <v xml:space="preserve">32939 </v>
          </cell>
          <cell r="AA609">
            <v>32939</v>
          </cell>
        </row>
        <row r="610">
          <cell r="P610">
            <v>0</v>
          </cell>
          <cell r="S610" t="str">
            <v xml:space="preserve">32939 </v>
          </cell>
          <cell r="AA610">
            <v>32939</v>
          </cell>
        </row>
        <row r="611">
          <cell r="P611">
            <v>0</v>
          </cell>
          <cell r="S611" t="str">
            <v xml:space="preserve">32939 </v>
          </cell>
          <cell r="AA611">
            <v>32939</v>
          </cell>
        </row>
        <row r="612">
          <cell r="P612">
            <v>0</v>
          </cell>
          <cell r="S612" t="str">
            <v xml:space="preserve">32939 </v>
          </cell>
          <cell r="AA612">
            <v>32939</v>
          </cell>
        </row>
        <row r="613">
          <cell r="P613">
            <v>0</v>
          </cell>
          <cell r="S613" t="str">
            <v xml:space="preserve">32939 </v>
          </cell>
          <cell r="AA613">
            <v>32939</v>
          </cell>
        </row>
        <row r="614">
          <cell r="P614">
            <v>0</v>
          </cell>
          <cell r="S614" t="str">
            <v xml:space="preserve">32939 </v>
          </cell>
          <cell r="AA614">
            <v>32939</v>
          </cell>
        </row>
        <row r="615">
          <cell r="P615">
            <v>0</v>
          </cell>
          <cell r="S615" t="str">
            <v xml:space="preserve">32939 </v>
          </cell>
          <cell r="AA615">
            <v>32939</v>
          </cell>
        </row>
        <row r="616">
          <cell r="P616">
            <v>0</v>
          </cell>
          <cell r="S616" t="str">
            <v xml:space="preserve">32939 </v>
          </cell>
          <cell r="AA616">
            <v>32939</v>
          </cell>
        </row>
        <row r="617">
          <cell r="P617">
            <v>0</v>
          </cell>
          <cell r="S617" t="str">
            <v xml:space="preserve">32939 </v>
          </cell>
          <cell r="AA617">
            <v>32939</v>
          </cell>
        </row>
        <row r="618">
          <cell r="P618">
            <v>0</v>
          </cell>
          <cell r="S618" t="str">
            <v xml:space="preserve">32939 </v>
          </cell>
          <cell r="AA618">
            <v>32939</v>
          </cell>
        </row>
        <row r="619">
          <cell r="P619">
            <v>0</v>
          </cell>
          <cell r="S619" t="str">
            <v xml:space="preserve">32939 </v>
          </cell>
          <cell r="AA619">
            <v>32939</v>
          </cell>
        </row>
        <row r="620">
          <cell r="P620">
            <v>0</v>
          </cell>
          <cell r="S620" t="str">
            <v xml:space="preserve">32939 </v>
          </cell>
          <cell r="AA620">
            <v>32939</v>
          </cell>
        </row>
        <row r="621">
          <cell r="P621">
            <v>0</v>
          </cell>
          <cell r="S621" t="str">
            <v xml:space="preserve">32939 </v>
          </cell>
          <cell r="AA621">
            <v>32939</v>
          </cell>
        </row>
        <row r="622">
          <cell r="P622">
            <v>0</v>
          </cell>
          <cell r="S622" t="str">
            <v xml:space="preserve">32939 </v>
          </cell>
          <cell r="AA622">
            <v>32939</v>
          </cell>
        </row>
        <row r="623">
          <cell r="P623">
            <v>0</v>
          </cell>
          <cell r="S623" t="str">
            <v xml:space="preserve">32939 </v>
          </cell>
          <cell r="AA623">
            <v>32939</v>
          </cell>
        </row>
        <row r="624">
          <cell r="P624">
            <v>0</v>
          </cell>
          <cell r="S624" t="str">
            <v xml:space="preserve">32939 </v>
          </cell>
          <cell r="AA624">
            <v>32939</v>
          </cell>
        </row>
        <row r="625">
          <cell r="P625">
            <v>0</v>
          </cell>
          <cell r="S625" t="str">
            <v xml:space="preserve">32939 </v>
          </cell>
          <cell r="AA625">
            <v>32939</v>
          </cell>
        </row>
        <row r="626">
          <cell r="P626">
            <v>0</v>
          </cell>
          <cell r="S626" t="str">
            <v xml:space="preserve">32939 </v>
          </cell>
          <cell r="AA626">
            <v>32939</v>
          </cell>
        </row>
        <row r="627">
          <cell r="P627">
            <v>0</v>
          </cell>
          <cell r="S627" t="str">
            <v xml:space="preserve">32939 </v>
          </cell>
          <cell r="AA627">
            <v>32939</v>
          </cell>
        </row>
        <row r="628">
          <cell r="P628">
            <v>0</v>
          </cell>
          <cell r="S628" t="str">
            <v xml:space="preserve">32939 </v>
          </cell>
          <cell r="AA628">
            <v>32939</v>
          </cell>
        </row>
        <row r="629">
          <cell r="P629">
            <v>0</v>
          </cell>
          <cell r="S629" t="str">
            <v xml:space="preserve">32939 </v>
          </cell>
          <cell r="AA629">
            <v>32939</v>
          </cell>
        </row>
        <row r="630">
          <cell r="P630">
            <v>0</v>
          </cell>
          <cell r="S630" t="str">
            <v xml:space="preserve">32939 </v>
          </cell>
          <cell r="AA630">
            <v>32939</v>
          </cell>
        </row>
        <row r="631">
          <cell r="P631">
            <v>0</v>
          </cell>
          <cell r="S631" t="str">
            <v xml:space="preserve">32939 </v>
          </cell>
          <cell r="AA631">
            <v>32939</v>
          </cell>
        </row>
        <row r="632">
          <cell r="P632">
            <v>0</v>
          </cell>
          <cell r="S632" t="str">
            <v xml:space="preserve">32939 </v>
          </cell>
          <cell r="AA632">
            <v>32939</v>
          </cell>
        </row>
        <row r="633">
          <cell r="P633">
            <v>0</v>
          </cell>
          <cell r="S633" t="str">
            <v xml:space="preserve">32939 </v>
          </cell>
          <cell r="AA633">
            <v>32939</v>
          </cell>
        </row>
        <row r="634">
          <cell r="P634">
            <v>0</v>
          </cell>
          <cell r="S634" t="str">
            <v xml:space="preserve">32939 </v>
          </cell>
          <cell r="AA634">
            <v>32939</v>
          </cell>
        </row>
        <row r="635">
          <cell r="P635">
            <v>0</v>
          </cell>
          <cell r="S635" t="str">
            <v xml:space="preserve">32939 </v>
          </cell>
          <cell r="AA635">
            <v>32939</v>
          </cell>
        </row>
        <row r="636">
          <cell r="P636">
            <v>0</v>
          </cell>
          <cell r="S636" t="str">
            <v xml:space="preserve">32939 </v>
          </cell>
          <cell r="AA636">
            <v>32939</v>
          </cell>
        </row>
        <row r="637">
          <cell r="P637">
            <v>0</v>
          </cell>
          <cell r="S637" t="str">
            <v xml:space="preserve">32939 </v>
          </cell>
          <cell r="AA637">
            <v>32939</v>
          </cell>
        </row>
        <row r="638">
          <cell r="P638">
            <v>0</v>
          </cell>
          <cell r="S638" t="str">
            <v xml:space="preserve">32939 </v>
          </cell>
          <cell r="AA638">
            <v>32939</v>
          </cell>
        </row>
        <row r="639">
          <cell r="P639">
            <v>0</v>
          </cell>
          <cell r="S639" t="str">
            <v xml:space="preserve">32939 </v>
          </cell>
          <cell r="AA639">
            <v>32939</v>
          </cell>
        </row>
        <row r="640">
          <cell r="P640">
            <v>0</v>
          </cell>
          <cell r="S640" t="str">
            <v xml:space="preserve">32939 </v>
          </cell>
          <cell r="AA640">
            <v>32939</v>
          </cell>
        </row>
        <row r="641">
          <cell r="P641">
            <v>0</v>
          </cell>
          <cell r="S641" t="str">
            <v xml:space="preserve">32939 </v>
          </cell>
          <cell r="AA641">
            <v>32939</v>
          </cell>
        </row>
        <row r="642">
          <cell r="P642">
            <v>0</v>
          </cell>
          <cell r="S642" t="str">
            <v xml:space="preserve">32939 </v>
          </cell>
          <cell r="AA642">
            <v>32939</v>
          </cell>
        </row>
        <row r="643">
          <cell r="P643">
            <v>0</v>
          </cell>
          <cell r="S643" t="str">
            <v xml:space="preserve">32939 </v>
          </cell>
          <cell r="AA643">
            <v>32939</v>
          </cell>
        </row>
        <row r="644">
          <cell r="P644">
            <v>0</v>
          </cell>
          <cell r="S644" t="str">
            <v xml:space="preserve">32939 </v>
          </cell>
          <cell r="AA644">
            <v>32939</v>
          </cell>
        </row>
        <row r="645">
          <cell r="P645">
            <v>0</v>
          </cell>
          <cell r="S645" t="str">
            <v xml:space="preserve">32939 </v>
          </cell>
          <cell r="AA645">
            <v>32939</v>
          </cell>
        </row>
        <row r="646">
          <cell r="P646">
            <v>0</v>
          </cell>
          <cell r="S646" t="str">
            <v xml:space="preserve">32939 </v>
          </cell>
          <cell r="AA646">
            <v>32939</v>
          </cell>
        </row>
        <row r="647">
          <cell r="P647">
            <v>0</v>
          </cell>
          <cell r="S647" t="str">
            <v xml:space="preserve">32939 </v>
          </cell>
          <cell r="AA647">
            <v>32939</v>
          </cell>
        </row>
        <row r="648">
          <cell r="P648">
            <v>0</v>
          </cell>
          <cell r="S648" t="str">
            <v xml:space="preserve">32939 </v>
          </cell>
          <cell r="AA648">
            <v>32939</v>
          </cell>
        </row>
        <row r="649">
          <cell r="P649">
            <v>0</v>
          </cell>
          <cell r="S649" t="str">
            <v xml:space="preserve">32939 </v>
          </cell>
          <cell r="AA649">
            <v>32939</v>
          </cell>
        </row>
        <row r="650">
          <cell r="P650">
            <v>0</v>
          </cell>
          <cell r="S650" t="str">
            <v xml:space="preserve">32939 </v>
          </cell>
          <cell r="AA650">
            <v>32939</v>
          </cell>
        </row>
        <row r="651">
          <cell r="P651">
            <v>0</v>
          </cell>
          <cell r="S651" t="str">
            <v xml:space="preserve">32939 </v>
          </cell>
          <cell r="AA651">
            <v>32939</v>
          </cell>
        </row>
        <row r="652">
          <cell r="P652">
            <v>0</v>
          </cell>
          <cell r="S652" t="str">
            <v xml:space="preserve">32939 </v>
          </cell>
          <cell r="AA652">
            <v>32939</v>
          </cell>
        </row>
        <row r="653">
          <cell r="P653">
            <v>0</v>
          </cell>
          <cell r="S653" t="str">
            <v xml:space="preserve">32939 </v>
          </cell>
          <cell r="AA653">
            <v>32939</v>
          </cell>
        </row>
        <row r="654">
          <cell r="P654">
            <v>0</v>
          </cell>
          <cell r="S654" t="str">
            <v xml:space="preserve">32939 </v>
          </cell>
          <cell r="AA654">
            <v>32939</v>
          </cell>
        </row>
        <row r="655">
          <cell r="P655">
            <v>0</v>
          </cell>
          <cell r="S655" t="str">
            <v xml:space="preserve">32939 </v>
          </cell>
          <cell r="AA655">
            <v>32939</v>
          </cell>
        </row>
        <row r="656">
          <cell r="P656">
            <v>0</v>
          </cell>
          <cell r="S656" t="str">
            <v xml:space="preserve">32939 </v>
          </cell>
          <cell r="AA656">
            <v>32939</v>
          </cell>
        </row>
        <row r="657">
          <cell r="P657">
            <v>0</v>
          </cell>
          <cell r="S657" t="str">
            <v xml:space="preserve">32939 </v>
          </cell>
          <cell r="AA657">
            <v>32939</v>
          </cell>
        </row>
        <row r="658">
          <cell r="P658">
            <v>0</v>
          </cell>
          <cell r="S658" t="str">
            <v xml:space="preserve">32939 </v>
          </cell>
          <cell r="AA658">
            <v>32939</v>
          </cell>
        </row>
        <row r="659">
          <cell r="P659">
            <v>0</v>
          </cell>
          <cell r="S659" t="str">
            <v xml:space="preserve">32939 </v>
          </cell>
          <cell r="AA659">
            <v>32939</v>
          </cell>
        </row>
        <row r="660">
          <cell r="P660">
            <v>0</v>
          </cell>
          <cell r="S660" t="str">
            <v xml:space="preserve">32939 </v>
          </cell>
          <cell r="AA660">
            <v>32939</v>
          </cell>
        </row>
        <row r="661">
          <cell r="P661">
            <v>0</v>
          </cell>
          <cell r="S661" t="str">
            <v xml:space="preserve">32939 </v>
          </cell>
          <cell r="AA661">
            <v>32939</v>
          </cell>
        </row>
        <row r="662">
          <cell r="P662">
            <v>0</v>
          </cell>
          <cell r="S662" t="str">
            <v xml:space="preserve">32939 </v>
          </cell>
          <cell r="AA662">
            <v>32939</v>
          </cell>
        </row>
        <row r="663">
          <cell r="P663">
            <v>0</v>
          </cell>
          <cell r="S663" t="str">
            <v xml:space="preserve">32939 </v>
          </cell>
          <cell r="AA663">
            <v>32939</v>
          </cell>
        </row>
        <row r="664">
          <cell r="P664">
            <v>0</v>
          </cell>
          <cell r="S664" t="str">
            <v xml:space="preserve">32939 </v>
          </cell>
          <cell r="AA664">
            <v>32939</v>
          </cell>
        </row>
        <row r="665">
          <cell r="P665">
            <v>0</v>
          </cell>
          <cell r="S665" t="str">
            <v xml:space="preserve">32939 </v>
          </cell>
          <cell r="AA665">
            <v>32939</v>
          </cell>
        </row>
        <row r="666">
          <cell r="P666">
            <v>0</v>
          </cell>
          <cell r="S666" t="str">
            <v xml:space="preserve">32939 </v>
          </cell>
          <cell r="AA666">
            <v>32939</v>
          </cell>
        </row>
        <row r="667">
          <cell r="P667">
            <v>0</v>
          </cell>
          <cell r="S667" t="str">
            <v xml:space="preserve">32939 </v>
          </cell>
          <cell r="AA667">
            <v>32939</v>
          </cell>
        </row>
        <row r="668">
          <cell r="P668">
            <v>0</v>
          </cell>
          <cell r="S668" t="str">
            <v xml:space="preserve">32939 </v>
          </cell>
          <cell r="AA668">
            <v>32939</v>
          </cell>
        </row>
        <row r="669">
          <cell r="P669">
            <v>0</v>
          </cell>
          <cell r="S669" t="str">
            <v xml:space="preserve">32939 </v>
          </cell>
          <cell r="AA669">
            <v>32939</v>
          </cell>
        </row>
        <row r="670">
          <cell r="P670">
            <v>0</v>
          </cell>
          <cell r="S670" t="str">
            <v xml:space="preserve">32939 </v>
          </cell>
          <cell r="AA670">
            <v>32939</v>
          </cell>
        </row>
        <row r="671">
          <cell r="P671">
            <v>0</v>
          </cell>
          <cell r="S671" t="str">
            <v xml:space="preserve">32939 </v>
          </cell>
          <cell r="AA671">
            <v>32939</v>
          </cell>
        </row>
        <row r="672">
          <cell r="P672">
            <v>0</v>
          </cell>
          <cell r="S672" t="str">
            <v xml:space="preserve">32939 </v>
          </cell>
          <cell r="AA672">
            <v>32939</v>
          </cell>
        </row>
        <row r="673">
          <cell r="P673">
            <v>0</v>
          </cell>
          <cell r="S673" t="str">
            <v xml:space="preserve">32939 </v>
          </cell>
          <cell r="AA673">
            <v>32939</v>
          </cell>
        </row>
        <row r="674">
          <cell r="P674">
            <v>0</v>
          </cell>
          <cell r="S674" t="str">
            <v xml:space="preserve">32939 </v>
          </cell>
          <cell r="AA674">
            <v>32939</v>
          </cell>
        </row>
        <row r="675">
          <cell r="P675">
            <v>0</v>
          </cell>
          <cell r="S675" t="str">
            <v xml:space="preserve">32939 </v>
          </cell>
          <cell r="AA675">
            <v>32939</v>
          </cell>
        </row>
        <row r="676">
          <cell r="P676">
            <v>0</v>
          </cell>
          <cell r="S676" t="str">
            <v xml:space="preserve">32939 </v>
          </cell>
          <cell r="AA676">
            <v>32939</v>
          </cell>
        </row>
        <row r="677">
          <cell r="P677">
            <v>0</v>
          </cell>
          <cell r="S677" t="str">
            <v xml:space="preserve">32939 </v>
          </cell>
          <cell r="AA677">
            <v>32939</v>
          </cell>
        </row>
        <row r="678">
          <cell r="P678">
            <v>0</v>
          </cell>
          <cell r="S678" t="str">
            <v xml:space="preserve">32939 </v>
          </cell>
          <cell r="AA678">
            <v>32939</v>
          </cell>
        </row>
        <row r="679">
          <cell r="P679">
            <v>0</v>
          </cell>
          <cell r="S679" t="str">
            <v xml:space="preserve">32939 </v>
          </cell>
          <cell r="AA679">
            <v>32939</v>
          </cell>
        </row>
        <row r="680">
          <cell r="P680">
            <v>0</v>
          </cell>
          <cell r="S680" t="str">
            <v xml:space="preserve">32939 </v>
          </cell>
          <cell r="AA680">
            <v>32939</v>
          </cell>
        </row>
        <row r="681">
          <cell r="P681">
            <v>0</v>
          </cell>
          <cell r="S681" t="str">
            <v xml:space="preserve">32939 </v>
          </cell>
          <cell r="AA681">
            <v>32939</v>
          </cell>
        </row>
        <row r="682">
          <cell r="P682">
            <v>0</v>
          </cell>
          <cell r="S682" t="str">
            <v xml:space="preserve">32939 </v>
          </cell>
          <cell r="AA682">
            <v>32939</v>
          </cell>
        </row>
        <row r="683">
          <cell r="P683">
            <v>0</v>
          </cell>
          <cell r="S683" t="str">
            <v xml:space="preserve">32939 </v>
          </cell>
          <cell r="AA683">
            <v>32939</v>
          </cell>
        </row>
        <row r="684">
          <cell r="P684">
            <v>0</v>
          </cell>
          <cell r="S684" t="str">
            <v xml:space="preserve">32939 </v>
          </cell>
          <cell r="AA684">
            <v>32939</v>
          </cell>
        </row>
        <row r="685">
          <cell r="P685">
            <v>0</v>
          </cell>
          <cell r="S685" t="str">
            <v xml:space="preserve">32939 </v>
          </cell>
          <cell r="AA685">
            <v>32939</v>
          </cell>
        </row>
        <row r="686">
          <cell r="P686">
            <v>0</v>
          </cell>
          <cell r="S686" t="str">
            <v xml:space="preserve">32939 </v>
          </cell>
          <cell r="AA686">
            <v>32939</v>
          </cell>
        </row>
        <row r="687">
          <cell r="P687">
            <v>0</v>
          </cell>
          <cell r="S687" t="str">
            <v xml:space="preserve">32939 </v>
          </cell>
          <cell r="AA687">
            <v>32939</v>
          </cell>
        </row>
        <row r="688">
          <cell r="P688">
            <v>0</v>
          </cell>
          <cell r="S688" t="str">
            <v xml:space="preserve">32939 </v>
          </cell>
          <cell r="AA688">
            <v>32939</v>
          </cell>
        </row>
        <row r="689">
          <cell r="P689">
            <v>0</v>
          </cell>
          <cell r="S689" t="str">
            <v xml:space="preserve">32939 </v>
          </cell>
          <cell r="AA689">
            <v>32939</v>
          </cell>
        </row>
        <row r="690">
          <cell r="P690">
            <v>0</v>
          </cell>
          <cell r="S690" t="str">
            <v xml:space="preserve">32939 </v>
          </cell>
          <cell r="AA690">
            <v>32939</v>
          </cell>
        </row>
        <row r="691">
          <cell r="P691">
            <v>0</v>
          </cell>
          <cell r="S691" t="str">
            <v xml:space="preserve">32939 </v>
          </cell>
          <cell r="AA691">
            <v>32939</v>
          </cell>
        </row>
        <row r="692">
          <cell r="P692">
            <v>0</v>
          </cell>
          <cell r="S692" t="str">
            <v xml:space="preserve">32939 </v>
          </cell>
          <cell r="AA692">
            <v>32939</v>
          </cell>
        </row>
        <row r="693">
          <cell r="P693">
            <v>0</v>
          </cell>
          <cell r="S693" t="str">
            <v xml:space="preserve">32939 </v>
          </cell>
          <cell r="AA693">
            <v>32939</v>
          </cell>
        </row>
        <row r="694">
          <cell r="P694">
            <v>0</v>
          </cell>
          <cell r="S694" t="str">
            <v xml:space="preserve">32939 </v>
          </cell>
          <cell r="AA694">
            <v>32939</v>
          </cell>
        </row>
        <row r="695">
          <cell r="P695">
            <v>0</v>
          </cell>
          <cell r="S695" t="str">
            <v xml:space="preserve">32939 </v>
          </cell>
          <cell r="AA695">
            <v>32939</v>
          </cell>
        </row>
        <row r="696">
          <cell r="P696">
            <v>0</v>
          </cell>
          <cell r="S696" t="str">
            <v xml:space="preserve">32939 </v>
          </cell>
          <cell r="AA696">
            <v>32939</v>
          </cell>
        </row>
        <row r="697">
          <cell r="P697">
            <v>0</v>
          </cell>
          <cell r="S697" t="str">
            <v xml:space="preserve">32939 </v>
          </cell>
          <cell r="AA697">
            <v>32939</v>
          </cell>
        </row>
        <row r="698">
          <cell r="P698">
            <v>0</v>
          </cell>
          <cell r="S698" t="str">
            <v xml:space="preserve">32939 </v>
          </cell>
          <cell r="AA698">
            <v>32939</v>
          </cell>
        </row>
        <row r="699">
          <cell r="P699">
            <v>0</v>
          </cell>
          <cell r="S699" t="str">
            <v xml:space="preserve">32939 </v>
          </cell>
          <cell r="AA699">
            <v>32939</v>
          </cell>
        </row>
        <row r="700">
          <cell r="P700">
            <v>0</v>
          </cell>
          <cell r="S700" t="str">
            <v xml:space="preserve">32939 </v>
          </cell>
          <cell r="AA700">
            <v>32939</v>
          </cell>
        </row>
        <row r="701">
          <cell r="P701">
            <v>0</v>
          </cell>
          <cell r="S701" t="str">
            <v xml:space="preserve">32939 </v>
          </cell>
          <cell r="AA701">
            <v>32939</v>
          </cell>
        </row>
        <row r="702">
          <cell r="P702">
            <v>0</v>
          </cell>
          <cell r="S702" t="str">
            <v xml:space="preserve">32939 </v>
          </cell>
          <cell r="AA702">
            <v>32939</v>
          </cell>
        </row>
        <row r="703">
          <cell r="P703">
            <v>0</v>
          </cell>
          <cell r="S703" t="str">
            <v xml:space="preserve">32939 </v>
          </cell>
          <cell r="AA703">
            <v>32939</v>
          </cell>
        </row>
        <row r="704">
          <cell r="P704">
            <v>0</v>
          </cell>
          <cell r="S704" t="str">
            <v xml:space="preserve">32939 </v>
          </cell>
          <cell r="AA704">
            <v>32939</v>
          </cell>
        </row>
        <row r="705">
          <cell r="P705">
            <v>0</v>
          </cell>
          <cell r="S705" t="str">
            <v xml:space="preserve">32939 </v>
          </cell>
          <cell r="AA705">
            <v>32939</v>
          </cell>
        </row>
        <row r="706">
          <cell r="P706">
            <v>0</v>
          </cell>
          <cell r="S706" t="str">
            <v xml:space="preserve">32939 </v>
          </cell>
          <cell r="AA706">
            <v>32939</v>
          </cell>
        </row>
        <row r="707">
          <cell r="P707">
            <v>0</v>
          </cell>
          <cell r="S707" t="str">
            <v xml:space="preserve">32939 </v>
          </cell>
          <cell r="AA707">
            <v>32939</v>
          </cell>
        </row>
        <row r="708">
          <cell r="P708">
            <v>0</v>
          </cell>
          <cell r="S708" t="str">
            <v xml:space="preserve">32939 </v>
          </cell>
          <cell r="AA708">
            <v>32939</v>
          </cell>
        </row>
        <row r="709">
          <cell r="P709">
            <v>0</v>
          </cell>
          <cell r="S709" t="str">
            <v xml:space="preserve">32939 </v>
          </cell>
          <cell r="AA709">
            <v>32939</v>
          </cell>
        </row>
        <row r="710">
          <cell r="P710">
            <v>0</v>
          </cell>
          <cell r="S710" t="str">
            <v xml:space="preserve">32939 </v>
          </cell>
          <cell r="AA710">
            <v>32939</v>
          </cell>
        </row>
        <row r="711">
          <cell r="P711">
            <v>0</v>
          </cell>
          <cell r="S711" t="str">
            <v xml:space="preserve">32939 </v>
          </cell>
          <cell r="AA711">
            <v>32939</v>
          </cell>
        </row>
        <row r="712">
          <cell r="P712">
            <v>0</v>
          </cell>
          <cell r="S712" t="str">
            <v xml:space="preserve">32939 </v>
          </cell>
          <cell r="AA712">
            <v>32939</v>
          </cell>
        </row>
        <row r="713">
          <cell r="P713">
            <v>0</v>
          </cell>
          <cell r="S713" t="str">
            <v xml:space="preserve">32939 </v>
          </cell>
          <cell r="AA713">
            <v>32939</v>
          </cell>
        </row>
        <row r="714">
          <cell r="P714">
            <v>0</v>
          </cell>
          <cell r="S714" t="str">
            <v xml:space="preserve">32939 </v>
          </cell>
          <cell r="AA714">
            <v>32939</v>
          </cell>
        </row>
        <row r="715">
          <cell r="P715">
            <v>0</v>
          </cell>
          <cell r="S715" t="str">
            <v xml:space="preserve">32939 </v>
          </cell>
          <cell r="AA715">
            <v>32939</v>
          </cell>
        </row>
        <row r="716">
          <cell r="P716">
            <v>0</v>
          </cell>
          <cell r="S716" t="str">
            <v xml:space="preserve">32939 </v>
          </cell>
          <cell r="AA716">
            <v>32939</v>
          </cell>
        </row>
        <row r="717">
          <cell r="P717">
            <v>0</v>
          </cell>
          <cell r="S717" t="str">
            <v xml:space="preserve">32939 </v>
          </cell>
          <cell r="AA717">
            <v>32939</v>
          </cell>
        </row>
        <row r="718">
          <cell r="P718">
            <v>0</v>
          </cell>
          <cell r="S718" t="str">
            <v xml:space="preserve">32939 </v>
          </cell>
          <cell r="AA718">
            <v>32939</v>
          </cell>
        </row>
        <row r="719">
          <cell r="P719">
            <v>0</v>
          </cell>
          <cell r="S719" t="str">
            <v xml:space="preserve">32939 </v>
          </cell>
          <cell r="AA719">
            <v>32939</v>
          </cell>
        </row>
        <row r="720">
          <cell r="P720">
            <v>0</v>
          </cell>
          <cell r="S720" t="str">
            <v xml:space="preserve">32939 </v>
          </cell>
          <cell r="AA720">
            <v>32939</v>
          </cell>
        </row>
        <row r="721">
          <cell r="P721">
            <v>0</v>
          </cell>
          <cell r="S721" t="str">
            <v xml:space="preserve">32939 </v>
          </cell>
          <cell r="AA721">
            <v>32939</v>
          </cell>
        </row>
        <row r="722">
          <cell r="P722">
            <v>0</v>
          </cell>
          <cell r="S722" t="str">
            <v xml:space="preserve">32939 </v>
          </cell>
          <cell r="AA722">
            <v>32939</v>
          </cell>
        </row>
        <row r="723">
          <cell r="P723">
            <v>0</v>
          </cell>
          <cell r="S723" t="str">
            <v xml:space="preserve">32939 </v>
          </cell>
          <cell r="AA723">
            <v>32939</v>
          </cell>
        </row>
        <row r="724">
          <cell r="P724">
            <v>0</v>
          </cell>
          <cell r="S724" t="str">
            <v xml:space="preserve">32939 </v>
          </cell>
          <cell r="AA724">
            <v>32939</v>
          </cell>
        </row>
        <row r="725">
          <cell r="P725">
            <v>0</v>
          </cell>
          <cell r="S725" t="str">
            <v xml:space="preserve">32939 </v>
          </cell>
          <cell r="AA725">
            <v>32939</v>
          </cell>
        </row>
        <row r="726">
          <cell r="P726">
            <v>0</v>
          </cell>
          <cell r="S726" t="str">
            <v xml:space="preserve">32939 </v>
          </cell>
          <cell r="AA726">
            <v>32939</v>
          </cell>
        </row>
        <row r="727">
          <cell r="P727">
            <v>0</v>
          </cell>
          <cell r="S727" t="str">
            <v xml:space="preserve">32939 </v>
          </cell>
          <cell r="AA727">
            <v>32939</v>
          </cell>
        </row>
        <row r="728">
          <cell r="P728">
            <v>0</v>
          </cell>
          <cell r="S728" t="str">
            <v xml:space="preserve">32939 </v>
          </cell>
          <cell r="AA728">
            <v>32939</v>
          </cell>
        </row>
        <row r="729">
          <cell r="P729">
            <v>0</v>
          </cell>
          <cell r="S729" t="str">
            <v xml:space="preserve">32939 </v>
          </cell>
          <cell r="AA729">
            <v>32939</v>
          </cell>
        </row>
        <row r="730">
          <cell r="P730">
            <v>0</v>
          </cell>
          <cell r="S730" t="str">
            <v xml:space="preserve">32939 </v>
          </cell>
          <cell r="AA730">
            <v>32939</v>
          </cell>
        </row>
        <row r="731">
          <cell r="P731">
            <v>0</v>
          </cell>
          <cell r="S731" t="str">
            <v xml:space="preserve">32939 </v>
          </cell>
          <cell r="AA731">
            <v>32939</v>
          </cell>
        </row>
        <row r="732">
          <cell r="P732">
            <v>0</v>
          </cell>
          <cell r="S732" t="str">
            <v xml:space="preserve">32939 </v>
          </cell>
          <cell r="AA732">
            <v>32939</v>
          </cell>
        </row>
        <row r="733">
          <cell r="P733">
            <v>0</v>
          </cell>
          <cell r="S733" t="str">
            <v xml:space="preserve">32939 </v>
          </cell>
          <cell r="AA733">
            <v>32939</v>
          </cell>
        </row>
        <row r="734">
          <cell r="P734">
            <v>0</v>
          </cell>
          <cell r="S734" t="str">
            <v xml:space="preserve">32939 </v>
          </cell>
          <cell r="AA734">
            <v>32939</v>
          </cell>
        </row>
        <row r="735">
          <cell r="P735">
            <v>0</v>
          </cell>
          <cell r="S735" t="str">
            <v xml:space="preserve">32939 </v>
          </cell>
          <cell r="AA735">
            <v>32939</v>
          </cell>
        </row>
        <row r="736">
          <cell r="P736">
            <v>0</v>
          </cell>
          <cell r="S736" t="str">
            <v xml:space="preserve">32939 </v>
          </cell>
          <cell r="AA736">
            <v>32939</v>
          </cell>
        </row>
        <row r="737">
          <cell r="P737">
            <v>0</v>
          </cell>
          <cell r="S737" t="str">
            <v xml:space="preserve">32939 </v>
          </cell>
          <cell r="AA737">
            <v>32939</v>
          </cell>
        </row>
        <row r="738">
          <cell r="P738">
            <v>0</v>
          </cell>
          <cell r="S738" t="str">
            <v xml:space="preserve">32939 </v>
          </cell>
          <cell r="AA738">
            <v>32939</v>
          </cell>
        </row>
        <row r="739">
          <cell r="P739">
            <v>0</v>
          </cell>
          <cell r="S739" t="str">
            <v xml:space="preserve">32939 </v>
          </cell>
          <cell r="AA739">
            <v>32939</v>
          </cell>
        </row>
        <row r="740">
          <cell r="P740">
            <v>0</v>
          </cell>
          <cell r="S740" t="str">
            <v xml:space="preserve">32939 </v>
          </cell>
          <cell r="AA740">
            <v>32939</v>
          </cell>
        </row>
        <row r="741">
          <cell r="P741">
            <v>0</v>
          </cell>
          <cell r="S741" t="str">
            <v xml:space="preserve">32939 </v>
          </cell>
          <cell r="AA741">
            <v>32939</v>
          </cell>
        </row>
        <row r="742">
          <cell r="P742">
            <v>0</v>
          </cell>
          <cell r="S742" t="str">
            <v xml:space="preserve">32939 </v>
          </cell>
          <cell r="AA742">
            <v>32939</v>
          </cell>
        </row>
        <row r="743">
          <cell r="P743">
            <v>0</v>
          </cell>
          <cell r="S743" t="str">
            <v xml:space="preserve">32939 </v>
          </cell>
          <cell r="AA743">
            <v>32939</v>
          </cell>
        </row>
        <row r="744">
          <cell r="P744">
            <v>0</v>
          </cell>
          <cell r="S744" t="str">
            <v xml:space="preserve">32939 </v>
          </cell>
          <cell r="AA744">
            <v>32939</v>
          </cell>
        </row>
        <row r="745">
          <cell r="P745">
            <v>0</v>
          </cell>
          <cell r="S745" t="str">
            <v xml:space="preserve">32939 </v>
          </cell>
          <cell r="AA745">
            <v>32939</v>
          </cell>
        </row>
        <row r="746">
          <cell r="P746">
            <v>0</v>
          </cell>
          <cell r="S746" t="str">
            <v xml:space="preserve">32939 </v>
          </cell>
          <cell r="AA746">
            <v>32939</v>
          </cell>
        </row>
        <row r="747">
          <cell r="P747">
            <v>0</v>
          </cell>
          <cell r="S747" t="str">
            <v xml:space="preserve">32939 </v>
          </cell>
          <cell r="AA747">
            <v>32939</v>
          </cell>
        </row>
        <row r="748">
          <cell r="P748">
            <v>0</v>
          </cell>
          <cell r="S748" t="str">
            <v xml:space="preserve">32939 </v>
          </cell>
          <cell r="AA748">
            <v>32939</v>
          </cell>
        </row>
        <row r="749">
          <cell r="P749">
            <v>0</v>
          </cell>
          <cell r="S749" t="str">
            <v xml:space="preserve">32939 </v>
          </cell>
          <cell r="AA749">
            <v>32939</v>
          </cell>
        </row>
        <row r="750">
          <cell r="P750">
            <v>0</v>
          </cell>
          <cell r="S750" t="str">
            <v xml:space="preserve">32939 </v>
          </cell>
          <cell r="AA750">
            <v>32939</v>
          </cell>
        </row>
        <row r="751">
          <cell r="P751">
            <v>0</v>
          </cell>
          <cell r="S751" t="str">
            <v xml:space="preserve">32939 </v>
          </cell>
          <cell r="AA751">
            <v>32939</v>
          </cell>
        </row>
        <row r="752">
          <cell r="P752">
            <v>0</v>
          </cell>
          <cell r="S752" t="str">
            <v xml:space="preserve">32939 </v>
          </cell>
          <cell r="AA752">
            <v>32939</v>
          </cell>
        </row>
        <row r="753">
          <cell r="P753">
            <v>0</v>
          </cell>
          <cell r="S753" t="str">
            <v xml:space="preserve">32939 </v>
          </cell>
          <cell r="AA753">
            <v>32939</v>
          </cell>
        </row>
        <row r="754">
          <cell r="P754">
            <v>0</v>
          </cell>
          <cell r="S754" t="str">
            <v xml:space="preserve">32939 </v>
          </cell>
          <cell r="AA754">
            <v>32939</v>
          </cell>
        </row>
        <row r="755">
          <cell r="P755">
            <v>0</v>
          </cell>
          <cell r="S755" t="str">
            <v xml:space="preserve">32939 </v>
          </cell>
          <cell r="AA755">
            <v>32939</v>
          </cell>
        </row>
        <row r="756">
          <cell r="P756">
            <v>0</v>
          </cell>
          <cell r="S756" t="str">
            <v xml:space="preserve">32939 </v>
          </cell>
          <cell r="AA756">
            <v>32939</v>
          </cell>
        </row>
        <row r="757">
          <cell r="P757">
            <v>0</v>
          </cell>
          <cell r="S757" t="str">
            <v xml:space="preserve">32939 </v>
          </cell>
          <cell r="AA757">
            <v>32939</v>
          </cell>
        </row>
        <row r="758">
          <cell r="P758">
            <v>0</v>
          </cell>
          <cell r="S758" t="str">
            <v xml:space="preserve">32939 </v>
          </cell>
          <cell r="AA758">
            <v>32939</v>
          </cell>
        </row>
        <row r="759">
          <cell r="P759">
            <v>0</v>
          </cell>
          <cell r="S759" t="str">
            <v xml:space="preserve">32939 </v>
          </cell>
          <cell r="AA759">
            <v>32939</v>
          </cell>
        </row>
        <row r="760">
          <cell r="P760">
            <v>0</v>
          </cell>
          <cell r="S760" t="str">
            <v xml:space="preserve">32939 </v>
          </cell>
          <cell r="AA760">
            <v>32939</v>
          </cell>
        </row>
        <row r="761">
          <cell r="P761">
            <v>0</v>
          </cell>
          <cell r="S761" t="str">
            <v xml:space="preserve">32939 </v>
          </cell>
          <cell r="AA761">
            <v>32939</v>
          </cell>
        </row>
        <row r="762">
          <cell r="P762">
            <v>0</v>
          </cell>
          <cell r="S762" t="str">
            <v xml:space="preserve">32939 </v>
          </cell>
          <cell r="AA762">
            <v>32939</v>
          </cell>
        </row>
        <row r="763">
          <cell r="P763">
            <v>0</v>
          </cell>
          <cell r="S763" t="str">
            <v xml:space="preserve">32939 </v>
          </cell>
          <cell r="AA763">
            <v>32939</v>
          </cell>
        </row>
        <row r="764">
          <cell r="P764">
            <v>0</v>
          </cell>
          <cell r="S764" t="str">
            <v xml:space="preserve">32939 </v>
          </cell>
          <cell r="AA764">
            <v>32939</v>
          </cell>
        </row>
        <row r="765">
          <cell r="P765">
            <v>0</v>
          </cell>
          <cell r="S765" t="str">
            <v xml:space="preserve">32939 </v>
          </cell>
          <cell r="AA765">
            <v>32939</v>
          </cell>
        </row>
        <row r="766">
          <cell r="P766">
            <v>0</v>
          </cell>
          <cell r="S766" t="str">
            <v xml:space="preserve">32939 </v>
          </cell>
          <cell r="AA766">
            <v>32939</v>
          </cell>
        </row>
        <row r="767">
          <cell r="P767">
            <v>0</v>
          </cell>
          <cell r="S767" t="str">
            <v xml:space="preserve">32939 </v>
          </cell>
          <cell r="AA767">
            <v>32939</v>
          </cell>
        </row>
        <row r="768">
          <cell r="P768">
            <v>0</v>
          </cell>
          <cell r="S768" t="str">
            <v xml:space="preserve">32939 </v>
          </cell>
          <cell r="AA768">
            <v>32939</v>
          </cell>
        </row>
        <row r="769">
          <cell r="P769">
            <v>0</v>
          </cell>
          <cell r="S769" t="str">
            <v xml:space="preserve">32939 </v>
          </cell>
          <cell r="AA769">
            <v>32939</v>
          </cell>
        </row>
        <row r="770">
          <cell r="P770">
            <v>0</v>
          </cell>
          <cell r="S770" t="str">
            <v xml:space="preserve">32939 </v>
          </cell>
          <cell r="AA770">
            <v>32939</v>
          </cell>
        </row>
        <row r="771">
          <cell r="P771">
            <v>0</v>
          </cell>
          <cell r="S771" t="str">
            <v xml:space="preserve">32939 </v>
          </cell>
          <cell r="AA771">
            <v>32939</v>
          </cell>
        </row>
        <row r="772">
          <cell r="P772">
            <v>0</v>
          </cell>
          <cell r="S772" t="str">
            <v xml:space="preserve">32939 </v>
          </cell>
          <cell r="AA772">
            <v>32939</v>
          </cell>
        </row>
        <row r="773">
          <cell r="P773">
            <v>0</v>
          </cell>
          <cell r="S773" t="str">
            <v xml:space="preserve">32939 </v>
          </cell>
          <cell r="AA773">
            <v>32939</v>
          </cell>
        </row>
        <row r="774">
          <cell r="P774">
            <v>0</v>
          </cell>
          <cell r="S774" t="str">
            <v xml:space="preserve">32939 </v>
          </cell>
          <cell r="AA774">
            <v>32939</v>
          </cell>
        </row>
        <row r="775">
          <cell r="P775">
            <v>0</v>
          </cell>
          <cell r="S775" t="str">
            <v xml:space="preserve">32939 </v>
          </cell>
          <cell r="AA775">
            <v>32939</v>
          </cell>
        </row>
        <row r="776">
          <cell r="P776">
            <v>0</v>
          </cell>
          <cell r="S776" t="str">
            <v xml:space="preserve">32939 </v>
          </cell>
          <cell r="AA776">
            <v>32939</v>
          </cell>
        </row>
        <row r="777">
          <cell r="P777">
            <v>0</v>
          </cell>
          <cell r="S777" t="str">
            <v xml:space="preserve">32939 </v>
          </cell>
          <cell r="AA777">
            <v>32939</v>
          </cell>
        </row>
        <row r="778">
          <cell r="P778">
            <v>0</v>
          </cell>
          <cell r="S778" t="str">
            <v xml:space="preserve">32939 </v>
          </cell>
          <cell r="AA778">
            <v>32939</v>
          </cell>
        </row>
        <row r="779">
          <cell r="P779">
            <v>0</v>
          </cell>
          <cell r="S779" t="str">
            <v xml:space="preserve">32939 </v>
          </cell>
          <cell r="AA779">
            <v>32939</v>
          </cell>
        </row>
        <row r="780">
          <cell r="P780">
            <v>0</v>
          </cell>
          <cell r="S780" t="str">
            <v xml:space="preserve">32939 </v>
          </cell>
          <cell r="AA780">
            <v>32939</v>
          </cell>
        </row>
        <row r="781">
          <cell r="P781">
            <v>0</v>
          </cell>
          <cell r="S781" t="str">
            <v xml:space="preserve">32939 </v>
          </cell>
          <cell r="AA781">
            <v>32939</v>
          </cell>
        </row>
        <row r="782">
          <cell r="P782">
            <v>0</v>
          </cell>
          <cell r="S782" t="str">
            <v xml:space="preserve">32939 </v>
          </cell>
          <cell r="AA782">
            <v>32939</v>
          </cell>
        </row>
        <row r="783">
          <cell r="P783">
            <v>0</v>
          </cell>
          <cell r="S783" t="str">
            <v xml:space="preserve">32939 </v>
          </cell>
          <cell r="AA783">
            <v>32939</v>
          </cell>
        </row>
        <row r="784">
          <cell r="P784">
            <v>0</v>
          </cell>
          <cell r="S784" t="str">
            <v xml:space="preserve">32939 </v>
          </cell>
          <cell r="AA784">
            <v>32939</v>
          </cell>
        </row>
        <row r="785">
          <cell r="P785">
            <v>0</v>
          </cell>
          <cell r="S785" t="str">
            <v xml:space="preserve">32939 </v>
          </cell>
          <cell r="AA785">
            <v>32939</v>
          </cell>
        </row>
        <row r="786">
          <cell r="P786">
            <v>0</v>
          </cell>
          <cell r="S786" t="str">
            <v xml:space="preserve">32939 </v>
          </cell>
          <cell r="AA786">
            <v>32939</v>
          </cell>
        </row>
        <row r="787">
          <cell r="P787">
            <v>0</v>
          </cell>
          <cell r="S787" t="str">
            <v xml:space="preserve">32939 </v>
          </cell>
          <cell r="AA787">
            <v>32939</v>
          </cell>
        </row>
        <row r="788">
          <cell r="P788">
            <v>0</v>
          </cell>
          <cell r="S788" t="str">
            <v xml:space="preserve">32939 </v>
          </cell>
          <cell r="AA788">
            <v>32939</v>
          </cell>
        </row>
        <row r="789">
          <cell r="P789">
            <v>0</v>
          </cell>
          <cell r="S789" t="str">
            <v xml:space="preserve">32939 </v>
          </cell>
          <cell r="AA789">
            <v>32939</v>
          </cell>
        </row>
        <row r="790">
          <cell r="P790">
            <v>0</v>
          </cell>
          <cell r="S790" t="str">
            <v xml:space="preserve">32939 </v>
          </cell>
          <cell r="AA790">
            <v>32939</v>
          </cell>
        </row>
        <row r="791">
          <cell r="P791">
            <v>0</v>
          </cell>
          <cell r="S791" t="str">
            <v xml:space="preserve">32939 </v>
          </cell>
          <cell r="AA791">
            <v>32939</v>
          </cell>
        </row>
        <row r="792">
          <cell r="P792">
            <v>0</v>
          </cell>
          <cell r="S792" t="str">
            <v xml:space="preserve">32939 </v>
          </cell>
          <cell r="AA792">
            <v>32939</v>
          </cell>
        </row>
        <row r="793">
          <cell r="P793">
            <v>0</v>
          </cell>
          <cell r="S793" t="str">
            <v xml:space="preserve">32939 </v>
          </cell>
          <cell r="AA793">
            <v>32939</v>
          </cell>
        </row>
        <row r="794">
          <cell r="P794">
            <v>0</v>
          </cell>
          <cell r="S794" t="str">
            <v xml:space="preserve">32939 </v>
          </cell>
          <cell r="AA794">
            <v>32939</v>
          </cell>
        </row>
        <row r="795">
          <cell r="P795">
            <v>0</v>
          </cell>
          <cell r="S795" t="str">
            <v xml:space="preserve">32939 </v>
          </cell>
          <cell r="AA795">
            <v>32939</v>
          </cell>
        </row>
        <row r="796">
          <cell r="P796">
            <v>0</v>
          </cell>
          <cell r="S796" t="str">
            <v xml:space="preserve">32939 </v>
          </cell>
          <cell r="AA796">
            <v>32939</v>
          </cell>
        </row>
        <row r="797">
          <cell r="P797">
            <v>0</v>
          </cell>
          <cell r="S797" t="str">
            <v xml:space="preserve">32939 </v>
          </cell>
          <cell r="AA797">
            <v>32939</v>
          </cell>
        </row>
        <row r="798">
          <cell r="P798">
            <v>0</v>
          </cell>
          <cell r="S798" t="str">
            <v xml:space="preserve">32939 </v>
          </cell>
          <cell r="AA798">
            <v>32939</v>
          </cell>
        </row>
        <row r="799">
          <cell r="P799">
            <v>0</v>
          </cell>
          <cell r="S799" t="str">
            <v xml:space="preserve">32939 </v>
          </cell>
          <cell r="AA799">
            <v>32939</v>
          </cell>
        </row>
        <row r="800">
          <cell r="P800">
            <v>0</v>
          </cell>
          <cell r="S800" t="str">
            <v xml:space="preserve">32939 </v>
          </cell>
          <cell r="AA800">
            <v>32939</v>
          </cell>
        </row>
        <row r="801">
          <cell r="P801">
            <v>0</v>
          </cell>
          <cell r="S801" t="str">
            <v xml:space="preserve">32939 </v>
          </cell>
          <cell r="AA801">
            <v>32939</v>
          </cell>
        </row>
        <row r="802">
          <cell r="P802">
            <v>0</v>
          </cell>
          <cell r="S802" t="str">
            <v xml:space="preserve">32939 </v>
          </cell>
          <cell r="AA802">
            <v>32939</v>
          </cell>
        </row>
        <row r="803">
          <cell r="P803">
            <v>0</v>
          </cell>
          <cell r="S803" t="str">
            <v xml:space="preserve">32939 </v>
          </cell>
          <cell r="AA803">
            <v>32939</v>
          </cell>
        </row>
        <row r="804">
          <cell r="P804">
            <v>0</v>
          </cell>
          <cell r="S804" t="str">
            <v xml:space="preserve">32939 </v>
          </cell>
          <cell r="AA804">
            <v>32939</v>
          </cell>
        </row>
        <row r="805">
          <cell r="P805">
            <v>0</v>
          </cell>
          <cell r="S805" t="str">
            <v xml:space="preserve">32939 </v>
          </cell>
          <cell r="AA805">
            <v>32939</v>
          </cell>
        </row>
        <row r="806">
          <cell r="P806">
            <v>0</v>
          </cell>
          <cell r="S806" t="str">
            <v xml:space="preserve">32939 </v>
          </cell>
          <cell r="AA806">
            <v>32939</v>
          </cell>
        </row>
        <row r="807">
          <cell r="P807">
            <v>0</v>
          </cell>
          <cell r="S807" t="str">
            <v xml:space="preserve">32939 </v>
          </cell>
          <cell r="AA807">
            <v>32939</v>
          </cell>
        </row>
        <row r="808">
          <cell r="P808">
            <v>0</v>
          </cell>
          <cell r="S808" t="str">
            <v xml:space="preserve">32939 </v>
          </cell>
          <cell r="AA808">
            <v>32939</v>
          </cell>
        </row>
        <row r="809">
          <cell r="P809">
            <v>0</v>
          </cell>
          <cell r="S809" t="str">
            <v xml:space="preserve">32939 </v>
          </cell>
          <cell r="AA809">
            <v>32939</v>
          </cell>
        </row>
        <row r="810">
          <cell r="P810">
            <v>0</v>
          </cell>
          <cell r="S810" t="str">
            <v xml:space="preserve">32939 </v>
          </cell>
          <cell r="AA810">
            <v>32939</v>
          </cell>
        </row>
        <row r="811">
          <cell r="P811">
            <v>0</v>
          </cell>
          <cell r="S811" t="str">
            <v xml:space="preserve">32939 </v>
          </cell>
          <cell r="AA811">
            <v>32939</v>
          </cell>
        </row>
        <row r="812">
          <cell r="P812">
            <v>0</v>
          </cell>
          <cell r="S812" t="str">
            <v xml:space="preserve">32939 </v>
          </cell>
          <cell r="AA812">
            <v>32939</v>
          </cell>
        </row>
        <row r="813">
          <cell r="P813">
            <v>0</v>
          </cell>
          <cell r="S813" t="str">
            <v xml:space="preserve">32939 </v>
          </cell>
          <cell r="AA813">
            <v>32939</v>
          </cell>
        </row>
        <row r="814">
          <cell r="P814">
            <v>0</v>
          </cell>
          <cell r="S814" t="str">
            <v xml:space="preserve">32939 </v>
          </cell>
          <cell r="AA814">
            <v>32939</v>
          </cell>
        </row>
        <row r="815">
          <cell r="P815">
            <v>0</v>
          </cell>
          <cell r="S815" t="str">
            <v xml:space="preserve">32939 </v>
          </cell>
          <cell r="AA815">
            <v>32939</v>
          </cell>
        </row>
        <row r="816">
          <cell r="P816">
            <v>0</v>
          </cell>
          <cell r="S816" t="str">
            <v xml:space="preserve">32939 </v>
          </cell>
          <cell r="AA816">
            <v>32939</v>
          </cell>
        </row>
        <row r="817">
          <cell r="P817">
            <v>0</v>
          </cell>
          <cell r="S817" t="str">
            <v xml:space="preserve">32939 </v>
          </cell>
          <cell r="AA817">
            <v>32939</v>
          </cell>
        </row>
        <row r="818">
          <cell r="P818">
            <v>0</v>
          </cell>
          <cell r="S818" t="str">
            <v xml:space="preserve">32939 </v>
          </cell>
          <cell r="AA818">
            <v>32939</v>
          </cell>
        </row>
        <row r="819">
          <cell r="P819">
            <v>0</v>
          </cell>
          <cell r="S819" t="str">
            <v xml:space="preserve">32939 </v>
          </cell>
          <cell r="AA819">
            <v>32939</v>
          </cell>
        </row>
        <row r="820">
          <cell r="P820">
            <v>0</v>
          </cell>
          <cell r="S820" t="str">
            <v xml:space="preserve">32939 </v>
          </cell>
          <cell r="AA820">
            <v>32939</v>
          </cell>
        </row>
        <row r="821">
          <cell r="P821">
            <v>0</v>
          </cell>
          <cell r="S821" t="str">
            <v xml:space="preserve">32939 </v>
          </cell>
          <cell r="AA821">
            <v>32939</v>
          </cell>
        </row>
        <row r="822">
          <cell r="P822">
            <v>0</v>
          </cell>
          <cell r="S822" t="str">
            <v xml:space="preserve">32939 </v>
          </cell>
          <cell r="AA822">
            <v>32939</v>
          </cell>
        </row>
        <row r="823">
          <cell r="P823">
            <v>0</v>
          </cell>
          <cell r="S823" t="str">
            <v xml:space="preserve">32939 </v>
          </cell>
          <cell r="AA823">
            <v>32939</v>
          </cell>
        </row>
        <row r="824">
          <cell r="P824">
            <v>0</v>
          </cell>
          <cell r="S824" t="str">
            <v xml:space="preserve">32939 </v>
          </cell>
          <cell r="AA824">
            <v>32939</v>
          </cell>
        </row>
        <row r="825">
          <cell r="P825">
            <v>0</v>
          </cell>
          <cell r="S825" t="str">
            <v xml:space="preserve">32939 </v>
          </cell>
          <cell r="AA825">
            <v>32939</v>
          </cell>
        </row>
        <row r="826">
          <cell r="P826">
            <v>0</v>
          </cell>
          <cell r="S826" t="str">
            <v xml:space="preserve">32939 </v>
          </cell>
          <cell r="AA826">
            <v>32939</v>
          </cell>
        </row>
        <row r="827">
          <cell r="P827">
            <v>0</v>
          </cell>
          <cell r="S827" t="str">
            <v xml:space="preserve">32939 </v>
          </cell>
          <cell r="AA827">
            <v>32939</v>
          </cell>
        </row>
        <row r="828">
          <cell r="P828">
            <v>0</v>
          </cell>
          <cell r="S828" t="str">
            <v xml:space="preserve">32939 </v>
          </cell>
          <cell r="AA828">
            <v>32939</v>
          </cell>
        </row>
        <row r="829">
          <cell r="P829">
            <v>0</v>
          </cell>
          <cell r="S829" t="str">
            <v xml:space="preserve">32939 </v>
          </cell>
          <cell r="AA829">
            <v>32939</v>
          </cell>
        </row>
        <row r="830">
          <cell r="P830">
            <v>0</v>
          </cell>
          <cell r="S830" t="str">
            <v xml:space="preserve">32939 </v>
          </cell>
          <cell r="AA830">
            <v>32939</v>
          </cell>
        </row>
        <row r="831">
          <cell r="P831">
            <v>0</v>
          </cell>
          <cell r="S831" t="str">
            <v xml:space="preserve">32939 </v>
          </cell>
          <cell r="AA831">
            <v>32939</v>
          </cell>
        </row>
        <row r="832">
          <cell r="P832">
            <v>0</v>
          </cell>
          <cell r="S832" t="str">
            <v xml:space="preserve">32939 </v>
          </cell>
          <cell r="AA832">
            <v>32939</v>
          </cell>
        </row>
        <row r="833">
          <cell r="P833">
            <v>0</v>
          </cell>
          <cell r="S833" t="str">
            <v xml:space="preserve">32939 </v>
          </cell>
          <cell r="AA833">
            <v>32939</v>
          </cell>
        </row>
        <row r="834">
          <cell r="P834">
            <v>0</v>
          </cell>
          <cell r="S834" t="str">
            <v xml:space="preserve">32939 </v>
          </cell>
          <cell r="AA834">
            <v>32939</v>
          </cell>
        </row>
        <row r="835">
          <cell r="P835">
            <v>0</v>
          </cell>
          <cell r="S835" t="str">
            <v xml:space="preserve">32939 </v>
          </cell>
          <cell r="AA835">
            <v>32939</v>
          </cell>
        </row>
        <row r="836">
          <cell r="P836">
            <v>0</v>
          </cell>
          <cell r="S836" t="str">
            <v xml:space="preserve">32939 </v>
          </cell>
          <cell r="AA836">
            <v>32939</v>
          </cell>
        </row>
        <row r="837">
          <cell r="P837">
            <v>0</v>
          </cell>
          <cell r="S837" t="str">
            <v xml:space="preserve">32939 </v>
          </cell>
          <cell r="AA837">
            <v>32939</v>
          </cell>
        </row>
        <row r="838">
          <cell r="P838">
            <v>0</v>
          </cell>
          <cell r="S838" t="str">
            <v xml:space="preserve">32939 </v>
          </cell>
          <cell r="AA838">
            <v>32939</v>
          </cell>
        </row>
        <row r="839">
          <cell r="P839">
            <v>0</v>
          </cell>
          <cell r="S839" t="str">
            <v xml:space="preserve">32939 </v>
          </cell>
          <cell r="AA839">
            <v>32939</v>
          </cell>
        </row>
        <row r="840">
          <cell r="P840">
            <v>0</v>
          </cell>
          <cell r="S840" t="str">
            <v xml:space="preserve">32939 </v>
          </cell>
          <cell r="AA840">
            <v>32939</v>
          </cell>
        </row>
        <row r="841">
          <cell r="P841">
            <v>0</v>
          </cell>
          <cell r="S841" t="str">
            <v xml:space="preserve">32939 </v>
          </cell>
          <cell r="AA841">
            <v>32939</v>
          </cell>
        </row>
        <row r="842">
          <cell r="P842">
            <v>0</v>
          </cell>
          <cell r="S842" t="str">
            <v xml:space="preserve">32939 </v>
          </cell>
          <cell r="AA842">
            <v>32939</v>
          </cell>
        </row>
        <row r="843">
          <cell r="P843">
            <v>0</v>
          </cell>
          <cell r="S843" t="str">
            <v xml:space="preserve">32939 </v>
          </cell>
          <cell r="AA843">
            <v>32939</v>
          </cell>
        </row>
        <row r="844">
          <cell r="P844">
            <v>0</v>
          </cell>
          <cell r="S844" t="str">
            <v xml:space="preserve">32939 </v>
          </cell>
          <cell r="AA844">
            <v>32939</v>
          </cell>
        </row>
        <row r="845">
          <cell r="P845">
            <v>0</v>
          </cell>
          <cell r="S845" t="str">
            <v xml:space="preserve">32939 </v>
          </cell>
          <cell r="AA845">
            <v>32939</v>
          </cell>
        </row>
        <row r="846">
          <cell r="P846">
            <v>0</v>
          </cell>
          <cell r="S846" t="str">
            <v xml:space="preserve">32939 </v>
          </cell>
          <cell r="AA846">
            <v>32939</v>
          </cell>
        </row>
        <row r="847">
          <cell r="P847">
            <v>0</v>
          </cell>
          <cell r="S847" t="str">
            <v xml:space="preserve">32939 </v>
          </cell>
          <cell r="AA847">
            <v>32939</v>
          </cell>
        </row>
        <row r="848">
          <cell r="P848">
            <v>0</v>
          </cell>
          <cell r="S848" t="str">
            <v xml:space="preserve">32939 </v>
          </cell>
          <cell r="AA848">
            <v>32939</v>
          </cell>
        </row>
        <row r="849">
          <cell r="P849">
            <v>0</v>
          </cell>
          <cell r="S849" t="str">
            <v xml:space="preserve">32939 </v>
          </cell>
          <cell r="AA849">
            <v>32939</v>
          </cell>
        </row>
        <row r="850">
          <cell r="P850">
            <v>0</v>
          </cell>
          <cell r="S850" t="str">
            <v xml:space="preserve">32939 </v>
          </cell>
          <cell r="AA850">
            <v>32939</v>
          </cell>
        </row>
        <row r="851">
          <cell r="P851">
            <v>0</v>
          </cell>
          <cell r="S851" t="str">
            <v xml:space="preserve">32939 </v>
          </cell>
          <cell r="AA851">
            <v>32939</v>
          </cell>
        </row>
        <row r="852">
          <cell r="P852">
            <v>0</v>
          </cell>
          <cell r="S852" t="str">
            <v xml:space="preserve">32939 </v>
          </cell>
          <cell r="AA852">
            <v>32939</v>
          </cell>
        </row>
        <row r="853">
          <cell r="P853">
            <v>0</v>
          </cell>
          <cell r="S853" t="str">
            <v xml:space="preserve">32939 </v>
          </cell>
          <cell r="AA853">
            <v>32939</v>
          </cell>
        </row>
        <row r="854">
          <cell r="P854">
            <v>0</v>
          </cell>
          <cell r="S854" t="str">
            <v xml:space="preserve">32939 </v>
          </cell>
          <cell r="AA854">
            <v>32939</v>
          </cell>
        </row>
        <row r="855">
          <cell r="P855">
            <v>0</v>
          </cell>
          <cell r="S855" t="str">
            <v xml:space="preserve">32939 </v>
          </cell>
          <cell r="AA855">
            <v>32939</v>
          </cell>
        </row>
        <row r="856">
          <cell r="P856">
            <v>0</v>
          </cell>
          <cell r="S856" t="str">
            <v xml:space="preserve">32939 </v>
          </cell>
          <cell r="AA856">
            <v>32939</v>
          </cell>
        </row>
        <row r="857">
          <cell r="P857">
            <v>0</v>
          </cell>
          <cell r="S857" t="str">
            <v xml:space="preserve">32939 </v>
          </cell>
          <cell r="AA857">
            <v>32939</v>
          </cell>
        </row>
        <row r="858">
          <cell r="P858">
            <v>0</v>
          </cell>
          <cell r="S858" t="str">
            <v xml:space="preserve">32939 </v>
          </cell>
          <cell r="AA858">
            <v>32939</v>
          </cell>
        </row>
        <row r="859">
          <cell r="P859">
            <v>0</v>
          </cell>
          <cell r="S859" t="str">
            <v xml:space="preserve">32939 </v>
          </cell>
          <cell r="AA859">
            <v>32939</v>
          </cell>
        </row>
        <row r="860">
          <cell r="P860">
            <v>0</v>
          </cell>
          <cell r="S860" t="str">
            <v xml:space="preserve">32939 </v>
          </cell>
          <cell r="AA860">
            <v>32939</v>
          </cell>
        </row>
        <row r="861">
          <cell r="P861">
            <v>0</v>
          </cell>
          <cell r="S861" t="str">
            <v xml:space="preserve">32939 </v>
          </cell>
          <cell r="AA861">
            <v>32939</v>
          </cell>
        </row>
        <row r="862">
          <cell r="P862">
            <v>0</v>
          </cell>
          <cell r="S862" t="str">
            <v xml:space="preserve">32939 </v>
          </cell>
          <cell r="AA862">
            <v>32939</v>
          </cell>
        </row>
        <row r="863">
          <cell r="P863">
            <v>0</v>
          </cell>
          <cell r="S863" t="str">
            <v xml:space="preserve">32939 </v>
          </cell>
          <cell r="AA863">
            <v>32939</v>
          </cell>
        </row>
        <row r="864">
          <cell r="P864">
            <v>0</v>
          </cell>
          <cell r="S864" t="str">
            <v xml:space="preserve">32939 </v>
          </cell>
          <cell r="AA864">
            <v>32939</v>
          </cell>
        </row>
        <row r="865">
          <cell r="P865">
            <v>0</v>
          </cell>
          <cell r="S865" t="str">
            <v xml:space="preserve">32939 </v>
          </cell>
          <cell r="AA865">
            <v>32939</v>
          </cell>
        </row>
        <row r="866">
          <cell r="P866">
            <v>0</v>
          </cell>
          <cell r="S866" t="str">
            <v xml:space="preserve">32939 </v>
          </cell>
          <cell r="AA866">
            <v>32939</v>
          </cell>
        </row>
        <row r="867">
          <cell r="P867">
            <v>0</v>
          </cell>
          <cell r="S867" t="str">
            <v xml:space="preserve">32939 </v>
          </cell>
          <cell r="AA867">
            <v>32939</v>
          </cell>
        </row>
        <row r="868">
          <cell r="P868">
            <v>0</v>
          </cell>
          <cell r="S868" t="str">
            <v xml:space="preserve">32939 </v>
          </cell>
          <cell r="AA868">
            <v>32939</v>
          </cell>
        </row>
        <row r="869">
          <cell r="P869">
            <v>0</v>
          </cell>
          <cell r="S869" t="str">
            <v xml:space="preserve">32939 </v>
          </cell>
          <cell r="AA869">
            <v>32939</v>
          </cell>
        </row>
        <row r="870">
          <cell r="P870">
            <v>0</v>
          </cell>
          <cell r="S870" t="str">
            <v xml:space="preserve">32939 </v>
          </cell>
          <cell r="AA870">
            <v>32939</v>
          </cell>
        </row>
        <row r="871">
          <cell r="P871">
            <v>0</v>
          </cell>
          <cell r="S871" t="str">
            <v xml:space="preserve">32939 </v>
          </cell>
          <cell r="AA871">
            <v>32939</v>
          </cell>
        </row>
        <row r="872">
          <cell r="P872">
            <v>0</v>
          </cell>
          <cell r="S872" t="str">
            <v xml:space="preserve">32939 </v>
          </cell>
          <cell r="AA872">
            <v>32939</v>
          </cell>
        </row>
        <row r="873">
          <cell r="P873">
            <v>0</v>
          </cell>
          <cell r="S873" t="str">
            <v xml:space="preserve">32939 </v>
          </cell>
          <cell r="AA873">
            <v>32939</v>
          </cell>
        </row>
        <row r="874">
          <cell r="P874">
            <v>0</v>
          </cell>
          <cell r="S874" t="str">
            <v xml:space="preserve">32939 </v>
          </cell>
          <cell r="AA874">
            <v>32939</v>
          </cell>
        </row>
        <row r="875">
          <cell r="P875">
            <v>0</v>
          </cell>
          <cell r="S875" t="str">
            <v xml:space="preserve">32939 </v>
          </cell>
          <cell r="AA875">
            <v>32939</v>
          </cell>
        </row>
        <row r="876">
          <cell r="P876">
            <v>0</v>
          </cell>
          <cell r="S876" t="str">
            <v xml:space="preserve">32939 </v>
          </cell>
          <cell r="AA876">
            <v>32939</v>
          </cell>
        </row>
        <row r="877">
          <cell r="P877">
            <v>0</v>
          </cell>
          <cell r="S877" t="str">
            <v xml:space="preserve">32939 </v>
          </cell>
          <cell r="AA877">
            <v>32939</v>
          </cell>
        </row>
        <row r="878">
          <cell r="P878">
            <v>0</v>
          </cell>
          <cell r="S878" t="str">
            <v xml:space="preserve">32939 </v>
          </cell>
          <cell r="AA878">
            <v>32939</v>
          </cell>
        </row>
        <row r="879">
          <cell r="P879">
            <v>0</v>
          </cell>
          <cell r="S879" t="str">
            <v xml:space="preserve">32939 </v>
          </cell>
          <cell r="AA879">
            <v>32939</v>
          </cell>
        </row>
        <row r="880">
          <cell r="P880">
            <v>0</v>
          </cell>
          <cell r="S880" t="str">
            <v xml:space="preserve">32939 </v>
          </cell>
          <cell r="AA880">
            <v>32939</v>
          </cell>
        </row>
        <row r="881">
          <cell r="P881">
            <v>0</v>
          </cell>
          <cell r="S881" t="str">
            <v xml:space="preserve">32939 </v>
          </cell>
          <cell r="AA881">
            <v>32939</v>
          </cell>
        </row>
        <row r="882">
          <cell r="P882">
            <v>0</v>
          </cell>
          <cell r="S882" t="str">
            <v xml:space="preserve">32939 </v>
          </cell>
          <cell r="AA882">
            <v>32939</v>
          </cell>
        </row>
        <row r="883">
          <cell r="P883">
            <v>0</v>
          </cell>
          <cell r="S883" t="str">
            <v xml:space="preserve">32939 </v>
          </cell>
          <cell r="AA883">
            <v>32939</v>
          </cell>
        </row>
        <row r="884">
          <cell r="P884">
            <v>0</v>
          </cell>
          <cell r="S884" t="str">
            <v xml:space="preserve">32939 </v>
          </cell>
          <cell r="AA884">
            <v>32939</v>
          </cell>
        </row>
        <row r="885">
          <cell r="P885">
            <v>0</v>
          </cell>
          <cell r="S885" t="str">
            <v xml:space="preserve">32939 </v>
          </cell>
          <cell r="AA885">
            <v>32939</v>
          </cell>
        </row>
        <row r="886">
          <cell r="P886">
            <v>0</v>
          </cell>
          <cell r="S886" t="str">
            <v xml:space="preserve">32939 </v>
          </cell>
          <cell r="AA886">
            <v>32939</v>
          </cell>
        </row>
        <row r="887">
          <cell r="P887">
            <v>0</v>
          </cell>
          <cell r="S887" t="str">
            <v xml:space="preserve">32939 </v>
          </cell>
          <cell r="AA887">
            <v>32939</v>
          </cell>
        </row>
        <row r="888">
          <cell r="P888">
            <v>0</v>
          </cell>
          <cell r="S888" t="str">
            <v xml:space="preserve">32939 </v>
          </cell>
          <cell r="AA888">
            <v>32939</v>
          </cell>
        </row>
        <row r="889">
          <cell r="P889">
            <v>0</v>
          </cell>
          <cell r="S889" t="str">
            <v xml:space="preserve">32939 </v>
          </cell>
          <cell r="AA889">
            <v>32939</v>
          </cell>
        </row>
        <row r="890">
          <cell r="P890">
            <v>0</v>
          </cell>
          <cell r="S890" t="str">
            <v xml:space="preserve">32939 </v>
          </cell>
          <cell r="AA890">
            <v>32939</v>
          </cell>
        </row>
        <row r="891">
          <cell r="P891">
            <v>0</v>
          </cell>
          <cell r="S891" t="str">
            <v xml:space="preserve">32939 </v>
          </cell>
          <cell r="AA891">
            <v>32939</v>
          </cell>
        </row>
        <row r="892">
          <cell r="P892">
            <v>0</v>
          </cell>
          <cell r="S892" t="str">
            <v xml:space="preserve">32939 </v>
          </cell>
          <cell r="AA892">
            <v>32939</v>
          </cell>
        </row>
        <row r="893">
          <cell r="P893">
            <v>0</v>
          </cell>
          <cell r="S893" t="str">
            <v xml:space="preserve">32939 </v>
          </cell>
          <cell r="AA893">
            <v>32939</v>
          </cell>
        </row>
        <row r="894">
          <cell r="P894">
            <v>0</v>
          </cell>
          <cell r="S894" t="str">
            <v xml:space="preserve">32939 </v>
          </cell>
          <cell r="AA894">
            <v>32939</v>
          </cell>
        </row>
        <row r="895">
          <cell r="P895">
            <v>0</v>
          </cell>
          <cell r="S895" t="str">
            <v xml:space="preserve">32939 </v>
          </cell>
          <cell r="AA895">
            <v>32939</v>
          </cell>
        </row>
        <row r="896">
          <cell r="P896">
            <v>0</v>
          </cell>
          <cell r="S896" t="str">
            <v xml:space="preserve">32939 </v>
          </cell>
          <cell r="AA896">
            <v>32939</v>
          </cell>
        </row>
        <row r="897">
          <cell r="P897">
            <v>0</v>
          </cell>
          <cell r="S897" t="str">
            <v xml:space="preserve">32939 </v>
          </cell>
          <cell r="AA897">
            <v>32939</v>
          </cell>
        </row>
        <row r="898">
          <cell r="P898">
            <v>0</v>
          </cell>
          <cell r="S898" t="str">
            <v xml:space="preserve">32939 </v>
          </cell>
          <cell r="AA898">
            <v>32939</v>
          </cell>
        </row>
        <row r="899">
          <cell r="P899">
            <v>0</v>
          </cell>
          <cell r="S899" t="str">
            <v xml:space="preserve">32939 </v>
          </cell>
          <cell r="AA899">
            <v>32939</v>
          </cell>
        </row>
        <row r="900">
          <cell r="P900">
            <v>0</v>
          </cell>
          <cell r="S900" t="str">
            <v xml:space="preserve">32939 </v>
          </cell>
          <cell r="AA900">
            <v>32939</v>
          </cell>
        </row>
        <row r="901">
          <cell r="P901">
            <v>0</v>
          </cell>
          <cell r="S901" t="str">
            <v xml:space="preserve">32939 </v>
          </cell>
          <cell r="AA901">
            <v>32939</v>
          </cell>
        </row>
        <row r="902">
          <cell r="P902">
            <v>0</v>
          </cell>
          <cell r="S902" t="str">
            <v xml:space="preserve">32939 </v>
          </cell>
          <cell r="AA902">
            <v>32939</v>
          </cell>
        </row>
        <row r="903">
          <cell r="P903">
            <v>0</v>
          </cell>
          <cell r="S903" t="str">
            <v xml:space="preserve">32939 </v>
          </cell>
          <cell r="AA903">
            <v>32939</v>
          </cell>
        </row>
        <row r="904">
          <cell r="P904">
            <v>0</v>
          </cell>
          <cell r="S904" t="str">
            <v xml:space="preserve">32939 </v>
          </cell>
          <cell r="AA904">
            <v>32939</v>
          </cell>
        </row>
        <row r="905">
          <cell r="P905">
            <v>0</v>
          </cell>
          <cell r="S905" t="str">
            <v xml:space="preserve">32939 </v>
          </cell>
          <cell r="AA905">
            <v>32939</v>
          </cell>
        </row>
        <row r="906">
          <cell r="P906">
            <v>0</v>
          </cell>
          <cell r="S906" t="str">
            <v xml:space="preserve">32939 </v>
          </cell>
          <cell r="AA906">
            <v>32939</v>
          </cell>
        </row>
        <row r="907">
          <cell r="P907">
            <v>0</v>
          </cell>
          <cell r="S907" t="str">
            <v xml:space="preserve">32939 </v>
          </cell>
          <cell r="AA907">
            <v>32939</v>
          </cell>
        </row>
        <row r="908">
          <cell r="P908">
            <v>0</v>
          </cell>
          <cell r="S908" t="str">
            <v xml:space="preserve">32939 </v>
          </cell>
          <cell r="AA908">
            <v>32939</v>
          </cell>
        </row>
        <row r="909">
          <cell r="P909">
            <v>0</v>
          </cell>
          <cell r="S909" t="str">
            <v xml:space="preserve">32939 </v>
          </cell>
          <cell r="AA909">
            <v>32939</v>
          </cell>
        </row>
        <row r="910">
          <cell r="P910">
            <v>0</v>
          </cell>
          <cell r="S910" t="str">
            <v xml:space="preserve">32939 </v>
          </cell>
          <cell r="AA910">
            <v>32939</v>
          </cell>
        </row>
        <row r="911">
          <cell r="P911">
            <v>0</v>
          </cell>
          <cell r="S911" t="str">
            <v xml:space="preserve">32939 </v>
          </cell>
          <cell r="AA911">
            <v>32939</v>
          </cell>
        </row>
        <row r="912">
          <cell r="P912">
            <v>0</v>
          </cell>
          <cell r="S912" t="str">
            <v xml:space="preserve">32939 </v>
          </cell>
          <cell r="AA912">
            <v>32939</v>
          </cell>
        </row>
        <row r="913">
          <cell r="P913">
            <v>0</v>
          </cell>
          <cell r="S913" t="str">
            <v xml:space="preserve">32939 </v>
          </cell>
          <cell r="AA913">
            <v>32939</v>
          </cell>
        </row>
        <row r="914">
          <cell r="P914">
            <v>0</v>
          </cell>
          <cell r="S914" t="str">
            <v xml:space="preserve">32939 </v>
          </cell>
          <cell r="AA914">
            <v>32939</v>
          </cell>
        </row>
        <row r="915">
          <cell r="P915">
            <v>0</v>
          </cell>
          <cell r="S915" t="str">
            <v xml:space="preserve">32939 </v>
          </cell>
          <cell r="AA915">
            <v>32939</v>
          </cell>
        </row>
        <row r="916">
          <cell r="P916">
            <v>0</v>
          </cell>
          <cell r="S916" t="str">
            <v xml:space="preserve">32939 </v>
          </cell>
          <cell r="AA916">
            <v>32939</v>
          </cell>
        </row>
        <row r="917">
          <cell r="P917">
            <v>0</v>
          </cell>
          <cell r="S917" t="str">
            <v xml:space="preserve">32939 </v>
          </cell>
          <cell r="AA917">
            <v>32939</v>
          </cell>
        </row>
        <row r="918">
          <cell r="P918">
            <v>0</v>
          </cell>
          <cell r="S918" t="str">
            <v xml:space="preserve">32939 </v>
          </cell>
          <cell r="AA918">
            <v>32939</v>
          </cell>
        </row>
        <row r="919">
          <cell r="P919">
            <v>0</v>
          </cell>
          <cell r="S919" t="str">
            <v xml:space="preserve">32939 </v>
          </cell>
          <cell r="AA919">
            <v>32939</v>
          </cell>
        </row>
        <row r="920">
          <cell r="P920">
            <v>0</v>
          </cell>
          <cell r="S920" t="str">
            <v xml:space="preserve">32939 </v>
          </cell>
          <cell r="AA920">
            <v>32939</v>
          </cell>
        </row>
        <row r="921">
          <cell r="P921">
            <v>0</v>
          </cell>
          <cell r="S921" t="str">
            <v xml:space="preserve">32939 </v>
          </cell>
          <cell r="AA921">
            <v>32939</v>
          </cell>
        </row>
        <row r="922">
          <cell r="P922">
            <v>0</v>
          </cell>
          <cell r="S922" t="str">
            <v xml:space="preserve">32939 </v>
          </cell>
          <cell r="AA922">
            <v>32939</v>
          </cell>
        </row>
        <row r="923">
          <cell r="P923">
            <v>0</v>
          </cell>
          <cell r="S923" t="str">
            <v xml:space="preserve">32939 </v>
          </cell>
          <cell r="AA923">
            <v>32939</v>
          </cell>
        </row>
        <row r="924">
          <cell r="P924">
            <v>0</v>
          </cell>
          <cell r="S924" t="str">
            <v xml:space="preserve">32939 </v>
          </cell>
          <cell r="AA924">
            <v>32939</v>
          </cell>
        </row>
        <row r="925">
          <cell r="P925">
            <v>0</v>
          </cell>
          <cell r="S925" t="str">
            <v xml:space="preserve">32939 </v>
          </cell>
          <cell r="AA925">
            <v>32939</v>
          </cell>
        </row>
        <row r="926">
          <cell r="P926">
            <v>0</v>
          </cell>
          <cell r="S926" t="str">
            <v xml:space="preserve">32939 </v>
          </cell>
          <cell r="AA926">
            <v>32939</v>
          </cell>
        </row>
        <row r="927">
          <cell r="P927">
            <v>0</v>
          </cell>
          <cell r="S927" t="str">
            <v xml:space="preserve">32939 </v>
          </cell>
          <cell r="AA927">
            <v>32939</v>
          </cell>
        </row>
        <row r="928">
          <cell r="P928">
            <v>0</v>
          </cell>
          <cell r="S928" t="str">
            <v xml:space="preserve">32939 </v>
          </cell>
          <cell r="AA928">
            <v>32939</v>
          </cell>
        </row>
        <row r="929">
          <cell r="P929">
            <v>0</v>
          </cell>
          <cell r="S929" t="str">
            <v xml:space="preserve">32939 </v>
          </cell>
          <cell r="AA929">
            <v>32939</v>
          </cell>
        </row>
        <row r="930">
          <cell r="P930">
            <v>0</v>
          </cell>
          <cell r="S930" t="str">
            <v xml:space="preserve">32939 </v>
          </cell>
          <cell r="AA930">
            <v>32939</v>
          </cell>
        </row>
        <row r="931">
          <cell r="P931">
            <v>0</v>
          </cell>
          <cell r="S931" t="str">
            <v xml:space="preserve">32939 </v>
          </cell>
          <cell r="AA931">
            <v>32939</v>
          </cell>
        </row>
        <row r="932">
          <cell r="P932">
            <v>0</v>
          </cell>
          <cell r="S932" t="str">
            <v xml:space="preserve">32939 </v>
          </cell>
          <cell r="AA932">
            <v>32939</v>
          </cell>
        </row>
        <row r="933">
          <cell r="P933">
            <v>0</v>
          </cell>
          <cell r="S933" t="str">
            <v xml:space="preserve">32939 </v>
          </cell>
          <cell r="AA933">
            <v>32939</v>
          </cell>
        </row>
        <row r="934">
          <cell r="P934">
            <v>0</v>
          </cell>
          <cell r="S934" t="str">
            <v xml:space="preserve">32939 </v>
          </cell>
          <cell r="AA934">
            <v>32939</v>
          </cell>
        </row>
        <row r="935">
          <cell r="P935">
            <v>0</v>
          </cell>
          <cell r="S935" t="str">
            <v xml:space="preserve">32939 </v>
          </cell>
          <cell r="AA935">
            <v>32939</v>
          </cell>
        </row>
        <row r="936">
          <cell r="P936">
            <v>0</v>
          </cell>
          <cell r="S936" t="str">
            <v xml:space="preserve">32939 </v>
          </cell>
          <cell r="AA936">
            <v>32939</v>
          </cell>
        </row>
        <row r="937">
          <cell r="P937">
            <v>0</v>
          </cell>
          <cell r="S937" t="str">
            <v xml:space="preserve">32939 </v>
          </cell>
          <cell r="AA937">
            <v>32939</v>
          </cell>
        </row>
        <row r="938">
          <cell r="P938">
            <v>0</v>
          </cell>
          <cell r="S938" t="str">
            <v xml:space="preserve">32939 </v>
          </cell>
          <cell r="AA938">
            <v>32939</v>
          </cell>
        </row>
        <row r="939">
          <cell r="P939">
            <v>0</v>
          </cell>
          <cell r="S939" t="str">
            <v xml:space="preserve">32939 </v>
          </cell>
          <cell r="AA939">
            <v>32939</v>
          </cell>
        </row>
        <row r="940">
          <cell r="P940">
            <v>0</v>
          </cell>
          <cell r="S940" t="str">
            <v xml:space="preserve">32939 </v>
          </cell>
          <cell r="AA940">
            <v>32939</v>
          </cell>
        </row>
        <row r="941">
          <cell r="P941">
            <v>0</v>
          </cell>
          <cell r="S941" t="str">
            <v xml:space="preserve">32939 </v>
          </cell>
          <cell r="AA941">
            <v>32939</v>
          </cell>
        </row>
        <row r="942">
          <cell r="P942">
            <v>0</v>
          </cell>
          <cell r="S942" t="str">
            <v xml:space="preserve">32939 </v>
          </cell>
          <cell r="AA942">
            <v>32939</v>
          </cell>
        </row>
        <row r="943">
          <cell r="P943">
            <v>0</v>
          </cell>
          <cell r="S943" t="str">
            <v xml:space="preserve">32939 </v>
          </cell>
          <cell r="AA943">
            <v>32939</v>
          </cell>
        </row>
        <row r="944">
          <cell r="P944">
            <v>0</v>
          </cell>
          <cell r="S944" t="str">
            <v xml:space="preserve">32939 </v>
          </cell>
          <cell r="AA944">
            <v>32939</v>
          </cell>
        </row>
        <row r="945">
          <cell r="P945">
            <v>0</v>
          </cell>
          <cell r="S945" t="str">
            <v xml:space="preserve">32939 </v>
          </cell>
          <cell r="AA945">
            <v>32939</v>
          </cell>
        </row>
        <row r="946">
          <cell r="P946">
            <v>0</v>
          </cell>
          <cell r="S946" t="str">
            <v xml:space="preserve">32939 </v>
          </cell>
          <cell r="AA946">
            <v>32939</v>
          </cell>
        </row>
        <row r="947">
          <cell r="P947">
            <v>0</v>
          </cell>
          <cell r="S947" t="str">
            <v xml:space="preserve">32939 </v>
          </cell>
          <cell r="AA947">
            <v>32939</v>
          </cell>
        </row>
        <row r="948">
          <cell r="P948">
            <v>0</v>
          </cell>
          <cell r="S948" t="str">
            <v xml:space="preserve">32939 </v>
          </cell>
          <cell r="AA948">
            <v>32939</v>
          </cell>
        </row>
        <row r="949">
          <cell r="P949">
            <v>0</v>
          </cell>
          <cell r="S949" t="str">
            <v xml:space="preserve">32939 </v>
          </cell>
          <cell r="AA949">
            <v>32939</v>
          </cell>
        </row>
        <row r="950">
          <cell r="P950">
            <v>0</v>
          </cell>
          <cell r="S950" t="str">
            <v xml:space="preserve">32939 </v>
          </cell>
          <cell r="AA950">
            <v>32939</v>
          </cell>
        </row>
        <row r="951">
          <cell r="P951">
            <v>0</v>
          </cell>
          <cell r="S951" t="str">
            <v xml:space="preserve">32939 </v>
          </cell>
          <cell r="AA951">
            <v>32939</v>
          </cell>
        </row>
        <row r="952">
          <cell r="P952">
            <v>0</v>
          </cell>
          <cell r="S952" t="str">
            <v xml:space="preserve">32939 </v>
          </cell>
          <cell r="AA952">
            <v>32939</v>
          </cell>
        </row>
        <row r="953">
          <cell r="P953">
            <v>0</v>
          </cell>
          <cell r="S953" t="str">
            <v xml:space="preserve">32939 </v>
          </cell>
          <cell r="AA953">
            <v>32939</v>
          </cell>
        </row>
        <row r="954">
          <cell r="P954">
            <v>0</v>
          </cell>
          <cell r="S954" t="str">
            <v xml:space="preserve">32939 </v>
          </cell>
          <cell r="AA954">
            <v>32939</v>
          </cell>
        </row>
        <row r="955">
          <cell r="P955">
            <v>0</v>
          </cell>
          <cell r="S955" t="str">
            <v xml:space="preserve">32939 </v>
          </cell>
          <cell r="AA955">
            <v>32939</v>
          </cell>
        </row>
        <row r="956">
          <cell r="P956">
            <v>0</v>
          </cell>
          <cell r="S956" t="str">
            <v xml:space="preserve">32939 </v>
          </cell>
          <cell r="AA956">
            <v>32939</v>
          </cell>
        </row>
        <row r="957">
          <cell r="P957">
            <v>0</v>
          </cell>
          <cell r="S957" t="str">
            <v xml:space="preserve">32939 </v>
          </cell>
          <cell r="AA957">
            <v>32939</v>
          </cell>
        </row>
        <row r="958">
          <cell r="P958">
            <v>0</v>
          </cell>
          <cell r="S958" t="str">
            <v xml:space="preserve">32939 </v>
          </cell>
          <cell r="AA958">
            <v>32939</v>
          </cell>
        </row>
        <row r="959">
          <cell r="P959">
            <v>0</v>
          </cell>
          <cell r="S959" t="str">
            <v xml:space="preserve">32939 </v>
          </cell>
          <cell r="AA959">
            <v>32939</v>
          </cell>
        </row>
        <row r="960">
          <cell r="P960">
            <v>0</v>
          </cell>
          <cell r="S960" t="str">
            <v xml:space="preserve">32939 </v>
          </cell>
          <cell r="AA960">
            <v>32939</v>
          </cell>
        </row>
        <row r="961">
          <cell r="P961">
            <v>0</v>
          </cell>
          <cell r="S961" t="str">
            <v xml:space="preserve">32939 </v>
          </cell>
          <cell r="AA961">
            <v>32939</v>
          </cell>
        </row>
        <row r="962">
          <cell r="P962">
            <v>0</v>
          </cell>
          <cell r="S962" t="str">
            <v xml:space="preserve">32939 </v>
          </cell>
          <cell r="AA962">
            <v>32939</v>
          </cell>
        </row>
        <row r="963">
          <cell r="P963">
            <v>0</v>
          </cell>
          <cell r="S963" t="str">
            <v xml:space="preserve">32939 </v>
          </cell>
          <cell r="AA963">
            <v>32939</v>
          </cell>
        </row>
        <row r="964">
          <cell r="P964">
            <v>0</v>
          </cell>
          <cell r="S964" t="str">
            <v xml:space="preserve">32939 </v>
          </cell>
          <cell r="AA964">
            <v>32939</v>
          </cell>
        </row>
        <row r="965">
          <cell r="P965">
            <v>0</v>
          </cell>
          <cell r="S965" t="str">
            <v xml:space="preserve">32939 </v>
          </cell>
          <cell r="AA965">
            <v>32939</v>
          </cell>
        </row>
        <row r="966">
          <cell r="P966">
            <v>0</v>
          </cell>
          <cell r="S966" t="str">
            <v xml:space="preserve">32939 </v>
          </cell>
          <cell r="AA966">
            <v>32939</v>
          </cell>
        </row>
        <row r="967">
          <cell r="P967">
            <v>0</v>
          </cell>
          <cell r="S967" t="str">
            <v xml:space="preserve">32939 </v>
          </cell>
          <cell r="AA967">
            <v>32939</v>
          </cell>
        </row>
        <row r="968">
          <cell r="P968">
            <v>0</v>
          </cell>
          <cell r="S968" t="str">
            <v xml:space="preserve">32939 </v>
          </cell>
          <cell r="AA968">
            <v>32939</v>
          </cell>
        </row>
        <row r="969">
          <cell r="P969">
            <v>0</v>
          </cell>
          <cell r="S969" t="str">
            <v xml:space="preserve">32939 </v>
          </cell>
          <cell r="AA969">
            <v>32939</v>
          </cell>
        </row>
        <row r="970">
          <cell r="P970">
            <v>0</v>
          </cell>
          <cell r="S970" t="str">
            <v xml:space="preserve">32939 </v>
          </cell>
          <cell r="AA970">
            <v>32939</v>
          </cell>
        </row>
        <row r="971">
          <cell r="P971">
            <v>0</v>
          </cell>
          <cell r="S971" t="str">
            <v xml:space="preserve">32939 </v>
          </cell>
          <cell r="AA971">
            <v>32939</v>
          </cell>
        </row>
        <row r="972">
          <cell r="P972">
            <v>0</v>
          </cell>
          <cell r="S972" t="str">
            <v xml:space="preserve">32939 </v>
          </cell>
          <cell r="AA972">
            <v>32939</v>
          </cell>
        </row>
        <row r="973">
          <cell r="P973">
            <v>0</v>
          </cell>
          <cell r="S973" t="str">
            <v xml:space="preserve">32939 </v>
          </cell>
          <cell r="AA973">
            <v>32939</v>
          </cell>
        </row>
        <row r="974">
          <cell r="P974">
            <v>0</v>
          </cell>
          <cell r="S974" t="str">
            <v xml:space="preserve">32939 </v>
          </cell>
          <cell r="AA974">
            <v>32939</v>
          </cell>
        </row>
        <row r="975">
          <cell r="P975">
            <v>0</v>
          </cell>
          <cell r="S975" t="str">
            <v xml:space="preserve">32939 </v>
          </cell>
          <cell r="AA975">
            <v>32939</v>
          </cell>
        </row>
        <row r="976">
          <cell r="P976">
            <v>0</v>
          </cell>
          <cell r="S976" t="str">
            <v xml:space="preserve">32939 </v>
          </cell>
          <cell r="AA976">
            <v>32939</v>
          </cell>
        </row>
        <row r="977">
          <cell r="P977">
            <v>0</v>
          </cell>
          <cell r="S977" t="str">
            <v xml:space="preserve">32939 </v>
          </cell>
          <cell r="AA977">
            <v>32939</v>
          </cell>
        </row>
        <row r="978">
          <cell r="P978">
            <v>0</v>
          </cell>
          <cell r="S978" t="str">
            <v xml:space="preserve">32939 </v>
          </cell>
          <cell r="AA978">
            <v>32939</v>
          </cell>
        </row>
        <row r="979">
          <cell r="P979">
            <v>0</v>
          </cell>
          <cell r="S979" t="str">
            <v xml:space="preserve">32939 </v>
          </cell>
          <cell r="AA979">
            <v>32939</v>
          </cell>
        </row>
        <row r="980">
          <cell r="P980">
            <v>0</v>
          </cell>
          <cell r="S980" t="str">
            <v xml:space="preserve">32939 </v>
          </cell>
          <cell r="AA980">
            <v>32939</v>
          </cell>
        </row>
        <row r="981">
          <cell r="P981">
            <v>0</v>
          </cell>
          <cell r="S981" t="str">
            <v xml:space="preserve">32939 </v>
          </cell>
          <cell r="AA981">
            <v>32939</v>
          </cell>
        </row>
        <row r="982">
          <cell r="P982">
            <v>0</v>
          </cell>
          <cell r="S982" t="str">
            <v xml:space="preserve">32939 </v>
          </cell>
          <cell r="AA982">
            <v>32939</v>
          </cell>
        </row>
        <row r="983">
          <cell r="P983">
            <v>0</v>
          </cell>
          <cell r="S983" t="str">
            <v xml:space="preserve">32939 </v>
          </cell>
          <cell r="AA983">
            <v>32939</v>
          </cell>
        </row>
        <row r="984">
          <cell r="P984">
            <v>0</v>
          </cell>
          <cell r="S984" t="str">
            <v xml:space="preserve">32939 </v>
          </cell>
          <cell r="AA984">
            <v>32939</v>
          </cell>
        </row>
        <row r="985">
          <cell r="P985">
            <v>0</v>
          </cell>
          <cell r="S985" t="str">
            <v xml:space="preserve">32939 </v>
          </cell>
          <cell r="AA985">
            <v>32939</v>
          </cell>
        </row>
        <row r="986">
          <cell r="P986">
            <v>0</v>
          </cell>
          <cell r="S986" t="str">
            <v xml:space="preserve">32939 </v>
          </cell>
          <cell r="AA986">
            <v>32939</v>
          </cell>
        </row>
        <row r="987">
          <cell r="P987">
            <v>0</v>
          </cell>
          <cell r="S987" t="str">
            <v xml:space="preserve">32939 </v>
          </cell>
          <cell r="AA987">
            <v>32939</v>
          </cell>
        </row>
        <row r="988">
          <cell r="P988">
            <v>0</v>
          </cell>
          <cell r="S988" t="str">
            <v xml:space="preserve">32939 </v>
          </cell>
          <cell r="AA988">
            <v>32939</v>
          </cell>
        </row>
        <row r="989">
          <cell r="P989">
            <v>0</v>
          </cell>
          <cell r="S989" t="str">
            <v xml:space="preserve">32939 </v>
          </cell>
          <cell r="AA989">
            <v>32939</v>
          </cell>
        </row>
        <row r="990">
          <cell r="P990">
            <v>0</v>
          </cell>
          <cell r="S990" t="str">
            <v xml:space="preserve">32939 </v>
          </cell>
          <cell r="AA990">
            <v>32939</v>
          </cell>
        </row>
        <row r="991">
          <cell r="P991">
            <v>0</v>
          </cell>
          <cell r="S991" t="str">
            <v xml:space="preserve">32939 </v>
          </cell>
          <cell r="AA991">
            <v>32939</v>
          </cell>
        </row>
        <row r="992">
          <cell r="P992">
            <v>0</v>
          </cell>
          <cell r="S992" t="str">
            <v xml:space="preserve">32939 </v>
          </cell>
          <cell r="AA992">
            <v>32939</v>
          </cell>
        </row>
        <row r="993">
          <cell r="P993">
            <v>0</v>
          </cell>
          <cell r="S993" t="str">
            <v xml:space="preserve">32939 </v>
          </cell>
          <cell r="AA993">
            <v>32939</v>
          </cell>
        </row>
        <row r="994">
          <cell r="P994">
            <v>0</v>
          </cell>
          <cell r="S994" t="str">
            <v xml:space="preserve">32939 </v>
          </cell>
          <cell r="AA994">
            <v>32939</v>
          </cell>
        </row>
        <row r="995">
          <cell r="P995">
            <v>0</v>
          </cell>
          <cell r="S995" t="str">
            <v xml:space="preserve">32939 </v>
          </cell>
          <cell r="AA995">
            <v>32939</v>
          </cell>
        </row>
        <row r="996">
          <cell r="P996">
            <v>0</v>
          </cell>
          <cell r="S996" t="str">
            <v xml:space="preserve">32939 </v>
          </cell>
          <cell r="AA996">
            <v>32939</v>
          </cell>
        </row>
        <row r="997">
          <cell r="P997">
            <v>0</v>
          </cell>
          <cell r="S997" t="str">
            <v xml:space="preserve">32939 </v>
          </cell>
          <cell r="AA997">
            <v>32939</v>
          </cell>
        </row>
        <row r="998">
          <cell r="P998">
            <v>0</v>
          </cell>
          <cell r="S998" t="str">
            <v xml:space="preserve">32939 </v>
          </cell>
          <cell r="AA998">
            <v>32939</v>
          </cell>
        </row>
        <row r="999">
          <cell r="P999">
            <v>0</v>
          </cell>
          <cell r="S999" t="str">
            <v xml:space="preserve">32939 </v>
          </cell>
          <cell r="AA999">
            <v>32939</v>
          </cell>
        </row>
        <row r="1000">
          <cell r="P1000">
            <v>0</v>
          </cell>
          <cell r="S1000" t="str">
            <v xml:space="preserve">32939 </v>
          </cell>
          <cell r="AA1000">
            <v>32939</v>
          </cell>
        </row>
        <row r="1001">
          <cell r="P1001">
            <v>0</v>
          </cell>
          <cell r="S1001" t="str">
            <v xml:space="preserve">32939 </v>
          </cell>
          <cell r="AA1001">
            <v>32939</v>
          </cell>
        </row>
        <row r="1002">
          <cell r="P1002">
            <v>0</v>
          </cell>
          <cell r="S1002" t="str">
            <v xml:space="preserve">32939 </v>
          </cell>
          <cell r="AA1002">
            <v>32939</v>
          </cell>
        </row>
        <row r="1003">
          <cell r="P1003">
            <v>0</v>
          </cell>
          <cell r="S1003" t="str">
            <v xml:space="preserve">32939 </v>
          </cell>
          <cell r="AA1003">
            <v>32939</v>
          </cell>
        </row>
        <row r="1004">
          <cell r="P1004">
            <v>0</v>
          </cell>
          <cell r="S1004" t="str">
            <v xml:space="preserve">32939 </v>
          </cell>
          <cell r="AA1004">
            <v>32939</v>
          </cell>
        </row>
        <row r="1005">
          <cell r="P1005">
            <v>0</v>
          </cell>
          <cell r="S1005" t="str">
            <v xml:space="preserve">32939 </v>
          </cell>
          <cell r="AA1005">
            <v>32939</v>
          </cell>
        </row>
        <row r="1006">
          <cell r="P1006">
            <v>0</v>
          </cell>
          <cell r="S1006" t="str">
            <v xml:space="preserve">32939 </v>
          </cell>
          <cell r="AA1006">
            <v>32939</v>
          </cell>
        </row>
        <row r="1007">
          <cell r="P1007">
            <v>0</v>
          </cell>
          <cell r="S1007" t="str">
            <v xml:space="preserve">32939 </v>
          </cell>
          <cell r="AA1007">
            <v>32939</v>
          </cell>
        </row>
        <row r="1008">
          <cell r="P1008">
            <v>0</v>
          </cell>
          <cell r="S1008" t="str">
            <v xml:space="preserve">32939 </v>
          </cell>
          <cell r="AA1008">
            <v>32939</v>
          </cell>
        </row>
        <row r="1009">
          <cell r="P1009">
            <v>0</v>
          </cell>
          <cell r="S1009" t="str">
            <v xml:space="preserve">32939 </v>
          </cell>
          <cell r="AA1009">
            <v>32939</v>
          </cell>
        </row>
        <row r="1010">
          <cell r="P1010">
            <v>0</v>
          </cell>
          <cell r="S1010" t="str">
            <v xml:space="preserve">32939 </v>
          </cell>
          <cell r="AA1010">
            <v>32939</v>
          </cell>
        </row>
        <row r="1011">
          <cell r="P1011">
            <v>0</v>
          </cell>
          <cell r="S1011" t="str">
            <v xml:space="preserve">32939 </v>
          </cell>
          <cell r="AA1011">
            <v>32939</v>
          </cell>
        </row>
        <row r="1012">
          <cell r="P1012">
            <v>0</v>
          </cell>
          <cell r="S1012" t="str">
            <v xml:space="preserve">32939 </v>
          </cell>
          <cell r="AA1012">
            <v>32939</v>
          </cell>
        </row>
        <row r="1013">
          <cell r="P1013">
            <v>0</v>
          </cell>
          <cell r="S1013" t="str">
            <v xml:space="preserve">32939 </v>
          </cell>
          <cell r="AA1013">
            <v>32939</v>
          </cell>
        </row>
        <row r="1014">
          <cell r="P1014">
            <v>0</v>
          </cell>
          <cell r="S1014" t="str">
            <v xml:space="preserve">32939 </v>
          </cell>
          <cell r="AA1014">
            <v>32939</v>
          </cell>
        </row>
        <row r="1015">
          <cell r="P1015">
            <v>0</v>
          </cell>
          <cell r="S1015" t="str">
            <v xml:space="preserve">32939 </v>
          </cell>
          <cell r="AA1015">
            <v>32939</v>
          </cell>
        </row>
        <row r="1016">
          <cell r="P1016">
            <v>0</v>
          </cell>
          <cell r="S1016" t="str">
            <v xml:space="preserve">32939 </v>
          </cell>
          <cell r="AA1016">
            <v>32939</v>
          </cell>
        </row>
        <row r="1017">
          <cell r="P1017">
            <v>0</v>
          </cell>
          <cell r="S1017" t="str">
            <v xml:space="preserve">32939 </v>
          </cell>
          <cell r="AA1017">
            <v>32939</v>
          </cell>
        </row>
        <row r="1018">
          <cell r="P1018">
            <v>0</v>
          </cell>
          <cell r="S1018" t="str">
            <v xml:space="preserve">32939 </v>
          </cell>
          <cell r="AA1018">
            <v>32939</v>
          </cell>
        </row>
        <row r="1019">
          <cell r="P1019">
            <v>0</v>
          </cell>
          <cell r="S1019" t="str">
            <v xml:space="preserve">32939 </v>
          </cell>
          <cell r="AA1019">
            <v>32939</v>
          </cell>
        </row>
        <row r="1020">
          <cell r="P1020">
            <v>0</v>
          </cell>
          <cell r="S1020" t="str">
            <v xml:space="preserve">32939 </v>
          </cell>
          <cell r="AA1020">
            <v>32939</v>
          </cell>
        </row>
        <row r="1021">
          <cell r="P1021">
            <v>0</v>
          </cell>
          <cell r="S1021" t="str">
            <v xml:space="preserve">32939 </v>
          </cell>
          <cell r="AA1021">
            <v>32939</v>
          </cell>
        </row>
        <row r="1022">
          <cell r="P1022">
            <v>0</v>
          </cell>
          <cell r="S1022" t="str">
            <v xml:space="preserve">32939 </v>
          </cell>
          <cell r="AA1022">
            <v>32939</v>
          </cell>
        </row>
        <row r="1023">
          <cell r="P1023">
            <v>0</v>
          </cell>
          <cell r="S1023" t="str">
            <v xml:space="preserve">32939 </v>
          </cell>
          <cell r="AA1023">
            <v>32939</v>
          </cell>
        </row>
        <row r="1024">
          <cell r="P1024">
            <v>0</v>
          </cell>
          <cell r="S1024" t="str">
            <v xml:space="preserve">32939 </v>
          </cell>
          <cell r="AA1024">
            <v>32939</v>
          </cell>
        </row>
        <row r="1025">
          <cell r="P1025">
            <v>0</v>
          </cell>
          <cell r="S1025" t="str">
            <v xml:space="preserve">32939 </v>
          </cell>
          <cell r="AA1025">
            <v>32939</v>
          </cell>
        </row>
        <row r="1026">
          <cell r="P1026">
            <v>0</v>
          </cell>
          <cell r="S1026" t="str">
            <v xml:space="preserve">32939 </v>
          </cell>
          <cell r="AA1026">
            <v>32939</v>
          </cell>
        </row>
        <row r="1027">
          <cell r="P1027">
            <v>0</v>
          </cell>
          <cell r="S1027" t="str">
            <v xml:space="preserve">32939 </v>
          </cell>
          <cell r="AA1027">
            <v>32939</v>
          </cell>
        </row>
        <row r="1028">
          <cell r="P1028">
            <v>0</v>
          </cell>
          <cell r="S1028" t="str">
            <v xml:space="preserve">32939 </v>
          </cell>
          <cell r="AA1028">
            <v>32939</v>
          </cell>
        </row>
        <row r="1029">
          <cell r="P1029">
            <v>0</v>
          </cell>
          <cell r="S1029" t="str">
            <v xml:space="preserve">32939 </v>
          </cell>
          <cell r="AA1029">
            <v>32939</v>
          </cell>
        </row>
        <row r="1030">
          <cell r="P1030">
            <v>0</v>
          </cell>
          <cell r="S1030" t="str">
            <v xml:space="preserve">32939 </v>
          </cell>
          <cell r="AA1030">
            <v>32939</v>
          </cell>
        </row>
        <row r="1031">
          <cell r="P1031">
            <v>0</v>
          </cell>
          <cell r="S1031" t="str">
            <v xml:space="preserve">32939 </v>
          </cell>
          <cell r="AA1031">
            <v>32939</v>
          </cell>
        </row>
        <row r="1032">
          <cell r="P1032">
            <v>0</v>
          </cell>
          <cell r="S1032" t="str">
            <v xml:space="preserve">32939 </v>
          </cell>
          <cell r="AA1032">
            <v>32939</v>
          </cell>
        </row>
        <row r="1033">
          <cell r="P1033">
            <v>0</v>
          </cell>
          <cell r="S1033" t="str">
            <v xml:space="preserve">32939 </v>
          </cell>
          <cell r="AA1033">
            <v>32939</v>
          </cell>
        </row>
        <row r="1034">
          <cell r="P1034">
            <v>0</v>
          </cell>
          <cell r="S1034" t="str">
            <v xml:space="preserve">32939 </v>
          </cell>
          <cell r="AA1034">
            <v>32939</v>
          </cell>
        </row>
        <row r="1035">
          <cell r="P1035">
            <v>0</v>
          </cell>
          <cell r="S1035" t="str">
            <v xml:space="preserve">32939 </v>
          </cell>
          <cell r="AA1035">
            <v>32939</v>
          </cell>
        </row>
        <row r="1036">
          <cell r="P1036">
            <v>0</v>
          </cell>
          <cell r="S1036" t="str">
            <v xml:space="preserve">32939 </v>
          </cell>
          <cell r="AA1036">
            <v>32939</v>
          </cell>
        </row>
        <row r="1037">
          <cell r="P1037">
            <v>0</v>
          </cell>
          <cell r="S1037" t="str">
            <v xml:space="preserve">32939 </v>
          </cell>
          <cell r="AA1037">
            <v>32939</v>
          </cell>
        </row>
        <row r="1038">
          <cell r="P1038">
            <v>0</v>
          </cell>
          <cell r="S1038" t="str">
            <v xml:space="preserve">32939 </v>
          </cell>
          <cell r="AA1038">
            <v>32939</v>
          </cell>
        </row>
        <row r="1039">
          <cell r="P1039">
            <v>0</v>
          </cell>
          <cell r="S1039" t="str">
            <v xml:space="preserve">32939 </v>
          </cell>
          <cell r="AA1039">
            <v>32939</v>
          </cell>
        </row>
        <row r="1040">
          <cell r="P1040">
            <v>0</v>
          </cell>
          <cell r="S1040" t="str">
            <v xml:space="preserve">32939 </v>
          </cell>
          <cell r="AA1040">
            <v>32939</v>
          </cell>
        </row>
        <row r="1041">
          <cell r="P1041">
            <v>0</v>
          </cell>
          <cell r="S1041" t="str">
            <v xml:space="preserve">32939 </v>
          </cell>
          <cell r="AA1041">
            <v>32939</v>
          </cell>
        </row>
        <row r="1042">
          <cell r="P1042">
            <v>0</v>
          </cell>
          <cell r="S1042" t="str">
            <v xml:space="preserve">32939 </v>
          </cell>
          <cell r="AA1042">
            <v>32939</v>
          </cell>
        </row>
        <row r="1043">
          <cell r="P1043">
            <v>0</v>
          </cell>
          <cell r="S1043" t="str">
            <v xml:space="preserve">32939 </v>
          </cell>
          <cell r="AA1043">
            <v>32939</v>
          </cell>
        </row>
        <row r="1044">
          <cell r="P1044">
            <v>0</v>
          </cell>
          <cell r="S1044" t="str">
            <v xml:space="preserve">32939 </v>
          </cell>
          <cell r="AA1044">
            <v>32939</v>
          </cell>
        </row>
        <row r="1045">
          <cell r="P1045">
            <v>0</v>
          </cell>
          <cell r="S1045" t="str">
            <v xml:space="preserve">32939 </v>
          </cell>
          <cell r="AA1045">
            <v>32939</v>
          </cell>
        </row>
        <row r="1046">
          <cell r="P1046">
            <v>0</v>
          </cell>
          <cell r="S1046" t="str">
            <v xml:space="preserve">32939 </v>
          </cell>
          <cell r="AA1046">
            <v>32939</v>
          </cell>
        </row>
        <row r="1047">
          <cell r="P1047">
            <v>0</v>
          </cell>
          <cell r="S1047" t="str">
            <v xml:space="preserve">32939 </v>
          </cell>
          <cell r="AA1047">
            <v>32939</v>
          </cell>
        </row>
        <row r="1048">
          <cell r="P1048">
            <v>0</v>
          </cell>
          <cell r="S1048" t="str">
            <v xml:space="preserve">32939 </v>
          </cell>
          <cell r="AA1048">
            <v>32939</v>
          </cell>
        </row>
        <row r="1049">
          <cell r="P1049">
            <v>0</v>
          </cell>
          <cell r="S1049" t="str">
            <v xml:space="preserve">32939 </v>
          </cell>
          <cell r="AA1049">
            <v>32939</v>
          </cell>
        </row>
        <row r="1050">
          <cell r="P1050">
            <v>0</v>
          </cell>
          <cell r="S1050" t="str">
            <v xml:space="preserve">32939 </v>
          </cell>
          <cell r="AA1050">
            <v>32939</v>
          </cell>
        </row>
        <row r="1051">
          <cell r="P1051">
            <v>0</v>
          </cell>
          <cell r="S1051" t="str">
            <v xml:space="preserve">32939 </v>
          </cell>
          <cell r="AA1051">
            <v>32939</v>
          </cell>
        </row>
        <row r="1052">
          <cell r="P1052">
            <v>0</v>
          </cell>
          <cell r="S1052" t="str">
            <v xml:space="preserve">32939 </v>
          </cell>
          <cell r="AA1052">
            <v>32939</v>
          </cell>
        </row>
        <row r="1053">
          <cell r="P1053">
            <v>0</v>
          </cell>
          <cell r="S1053" t="str">
            <v xml:space="preserve">32939 </v>
          </cell>
          <cell r="AA1053">
            <v>32939</v>
          </cell>
        </row>
        <row r="1054">
          <cell r="P1054">
            <v>0</v>
          </cell>
          <cell r="S1054" t="str">
            <v xml:space="preserve">32939 </v>
          </cell>
          <cell r="AA1054">
            <v>32939</v>
          </cell>
        </row>
        <row r="1055">
          <cell r="P1055">
            <v>0</v>
          </cell>
          <cell r="S1055" t="str">
            <v xml:space="preserve">32939 </v>
          </cell>
          <cell r="AA1055">
            <v>32939</v>
          </cell>
        </row>
        <row r="1056">
          <cell r="P1056">
            <v>0</v>
          </cell>
          <cell r="S1056" t="str">
            <v xml:space="preserve">32939 </v>
          </cell>
          <cell r="AA1056">
            <v>32939</v>
          </cell>
        </row>
        <row r="1057">
          <cell r="P1057">
            <v>0</v>
          </cell>
          <cell r="S1057" t="str">
            <v xml:space="preserve">32939 </v>
          </cell>
          <cell r="AA1057">
            <v>32939</v>
          </cell>
        </row>
        <row r="1058">
          <cell r="P1058">
            <v>0</v>
          </cell>
          <cell r="S1058" t="str">
            <v xml:space="preserve">32939 </v>
          </cell>
          <cell r="AA1058">
            <v>32939</v>
          </cell>
        </row>
        <row r="1059">
          <cell r="P1059">
            <v>0</v>
          </cell>
          <cell r="S1059" t="str">
            <v xml:space="preserve">32939 </v>
          </cell>
          <cell r="AA1059">
            <v>32939</v>
          </cell>
        </row>
        <row r="1060">
          <cell r="P1060">
            <v>0</v>
          </cell>
          <cell r="S1060" t="str">
            <v xml:space="preserve">32939 </v>
          </cell>
          <cell r="AA1060">
            <v>32939</v>
          </cell>
        </row>
        <row r="1061">
          <cell r="P1061">
            <v>0</v>
          </cell>
          <cell r="S1061" t="str">
            <v xml:space="preserve">32939 </v>
          </cell>
          <cell r="AA1061">
            <v>32939</v>
          </cell>
        </row>
        <row r="1062">
          <cell r="P1062">
            <v>0</v>
          </cell>
          <cell r="S1062" t="str">
            <v xml:space="preserve">32939 </v>
          </cell>
          <cell r="AA1062">
            <v>32939</v>
          </cell>
        </row>
        <row r="1063">
          <cell r="P1063">
            <v>0</v>
          </cell>
          <cell r="S1063" t="str">
            <v xml:space="preserve">32939 </v>
          </cell>
          <cell r="AA1063">
            <v>32939</v>
          </cell>
        </row>
        <row r="1064">
          <cell r="P1064">
            <v>0</v>
          </cell>
          <cell r="S1064" t="str">
            <v xml:space="preserve">32939 </v>
          </cell>
          <cell r="AA1064">
            <v>32939</v>
          </cell>
        </row>
        <row r="1065">
          <cell r="P1065">
            <v>0</v>
          </cell>
          <cell r="S1065" t="str">
            <v xml:space="preserve">32939 </v>
          </cell>
          <cell r="AA1065">
            <v>32939</v>
          </cell>
        </row>
        <row r="1066">
          <cell r="P1066">
            <v>0</v>
          </cell>
          <cell r="S1066" t="str">
            <v xml:space="preserve">32939 </v>
          </cell>
          <cell r="AA1066">
            <v>32939</v>
          </cell>
        </row>
        <row r="1067">
          <cell r="P1067">
            <v>0</v>
          </cell>
          <cell r="S1067" t="str">
            <v xml:space="preserve">32939 </v>
          </cell>
          <cell r="AA1067">
            <v>32939</v>
          </cell>
        </row>
        <row r="1068">
          <cell r="P1068">
            <v>0</v>
          </cell>
          <cell r="S1068" t="str">
            <v xml:space="preserve">32939 </v>
          </cell>
          <cell r="AA1068">
            <v>32939</v>
          </cell>
        </row>
        <row r="1069">
          <cell r="P1069">
            <v>0</v>
          </cell>
          <cell r="S1069" t="str">
            <v xml:space="preserve">32939 </v>
          </cell>
          <cell r="AA1069">
            <v>32939</v>
          </cell>
        </row>
        <row r="1070">
          <cell r="P1070">
            <v>0</v>
          </cell>
          <cell r="S1070" t="str">
            <v xml:space="preserve">32939 </v>
          </cell>
          <cell r="AA1070">
            <v>32939</v>
          </cell>
        </row>
        <row r="1071">
          <cell r="P1071">
            <v>0</v>
          </cell>
          <cell r="S1071" t="str">
            <v xml:space="preserve">32939 </v>
          </cell>
          <cell r="AA1071">
            <v>32939</v>
          </cell>
        </row>
        <row r="1072">
          <cell r="P1072">
            <v>0</v>
          </cell>
          <cell r="S1072" t="str">
            <v xml:space="preserve">32939 </v>
          </cell>
          <cell r="AA1072">
            <v>32939</v>
          </cell>
        </row>
        <row r="1073">
          <cell r="P1073">
            <v>0</v>
          </cell>
          <cell r="S1073" t="str">
            <v xml:space="preserve">32939 </v>
          </cell>
          <cell r="AA1073">
            <v>32939</v>
          </cell>
        </row>
        <row r="1074">
          <cell r="P1074">
            <v>0</v>
          </cell>
          <cell r="S1074" t="str">
            <v xml:space="preserve">32939 </v>
          </cell>
          <cell r="AA1074">
            <v>32939</v>
          </cell>
        </row>
        <row r="1075">
          <cell r="P1075">
            <v>0</v>
          </cell>
          <cell r="S1075" t="str">
            <v xml:space="preserve">32939 </v>
          </cell>
          <cell r="AA1075">
            <v>32939</v>
          </cell>
        </row>
        <row r="1076">
          <cell r="P1076">
            <v>0</v>
          </cell>
          <cell r="S1076" t="str">
            <v xml:space="preserve">32939 </v>
          </cell>
          <cell r="AA1076">
            <v>32939</v>
          </cell>
        </row>
        <row r="1077">
          <cell r="P1077">
            <v>0</v>
          </cell>
          <cell r="S1077" t="str">
            <v xml:space="preserve">32939 </v>
          </cell>
          <cell r="AA1077">
            <v>32939</v>
          </cell>
        </row>
        <row r="1078">
          <cell r="P1078">
            <v>0</v>
          </cell>
          <cell r="S1078" t="str">
            <v xml:space="preserve">32939 </v>
          </cell>
          <cell r="AA1078">
            <v>32939</v>
          </cell>
        </row>
        <row r="1079">
          <cell r="P1079">
            <v>0</v>
          </cell>
          <cell r="S1079" t="str">
            <v xml:space="preserve">32939 </v>
          </cell>
          <cell r="AA1079">
            <v>32939</v>
          </cell>
        </row>
        <row r="1080">
          <cell r="P1080">
            <v>0</v>
          </cell>
          <cell r="S1080" t="str">
            <v xml:space="preserve">32939 </v>
          </cell>
          <cell r="AA1080">
            <v>32939</v>
          </cell>
        </row>
        <row r="1081">
          <cell r="P1081">
            <v>0</v>
          </cell>
          <cell r="S1081" t="str">
            <v xml:space="preserve">32939 </v>
          </cell>
          <cell r="AA1081">
            <v>32939</v>
          </cell>
        </row>
        <row r="1082">
          <cell r="P1082">
            <v>0</v>
          </cell>
          <cell r="S1082" t="str">
            <v xml:space="preserve">32939 </v>
          </cell>
          <cell r="AA1082">
            <v>32939</v>
          </cell>
        </row>
        <row r="1083">
          <cell r="P1083">
            <v>0</v>
          </cell>
          <cell r="S1083" t="str">
            <v xml:space="preserve">32939 </v>
          </cell>
          <cell r="AA1083">
            <v>32939</v>
          </cell>
        </row>
        <row r="1084">
          <cell r="P1084">
            <v>0</v>
          </cell>
          <cell r="S1084" t="str">
            <v xml:space="preserve">32939 </v>
          </cell>
          <cell r="AA1084">
            <v>32939</v>
          </cell>
        </row>
        <row r="1085">
          <cell r="P1085">
            <v>0</v>
          </cell>
          <cell r="S1085" t="str">
            <v xml:space="preserve">32939 </v>
          </cell>
          <cell r="AA1085">
            <v>32939</v>
          </cell>
        </row>
        <row r="1086">
          <cell r="P1086">
            <v>0</v>
          </cell>
          <cell r="S1086" t="str">
            <v xml:space="preserve">32939 </v>
          </cell>
          <cell r="AA1086">
            <v>32939</v>
          </cell>
        </row>
        <row r="1087">
          <cell r="P1087">
            <v>0</v>
          </cell>
          <cell r="S1087" t="str">
            <v xml:space="preserve">32939 </v>
          </cell>
          <cell r="AA1087">
            <v>32939</v>
          </cell>
        </row>
        <row r="1088">
          <cell r="P1088">
            <v>0</v>
          </cell>
          <cell r="S1088" t="str">
            <v xml:space="preserve">32939 </v>
          </cell>
          <cell r="AA1088">
            <v>32939</v>
          </cell>
        </row>
        <row r="1089">
          <cell r="P1089">
            <v>0</v>
          </cell>
          <cell r="S1089" t="str">
            <v xml:space="preserve">32939 </v>
          </cell>
          <cell r="AA1089">
            <v>32939</v>
          </cell>
        </row>
        <row r="1090">
          <cell r="P1090">
            <v>0</v>
          </cell>
          <cell r="S1090" t="str">
            <v xml:space="preserve">32939 </v>
          </cell>
          <cell r="AA1090">
            <v>32939</v>
          </cell>
        </row>
        <row r="1091">
          <cell r="P1091">
            <v>0</v>
          </cell>
          <cell r="S1091" t="str">
            <v xml:space="preserve">32939 </v>
          </cell>
          <cell r="AA1091">
            <v>32939</v>
          </cell>
        </row>
        <row r="1092">
          <cell r="P1092">
            <v>0</v>
          </cell>
          <cell r="S1092" t="str">
            <v xml:space="preserve">32939 </v>
          </cell>
          <cell r="AA1092">
            <v>32939</v>
          </cell>
        </row>
        <row r="1093">
          <cell r="P1093">
            <v>0</v>
          </cell>
          <cell r="S1093" t="str">
            <v xml:space="preserve">32939 </v>
          </cell>
          <cell r="AA1093">
            <v>32939</v>
          </cell>
        </row>
        <row r="1094">
          <cell r="P1094">
            <v>0</v>
          </cell>
          <cell r="S1094" t="str">
            <v xml:space="preserve">32939 </v>
          </cell>
          <cell r="AA1094">
            <v>32939</v>
          </cell>
        </row>
        <row r="1095">
          <cell r="P1095">
            <v>0</v>
          </cell>
          <cell r="S1095" t="str">
            <v xml:space="preserve">32939 </v>
          </cell>
          <cell r="AA1095">
            <v>32939</v>
          </cell>
        </row>
        <row r="1096">
          <cell r="P1096">
            <v>0</v>
          </cell>
          <cell r="S1096" t="str">
            <v xml:space="preserve">32939 </v>
          </cell>
          <cell r="AA1096">
            <v>32939</v>
          </cell>
        </row>
        <row r="1097">
          <cell r="P1097">
            <v>0</v>
          </cell>
          <cell r="S1097" t="str">
            <v xml:space="preserve">32939 </v>
          </cell>
          <cell r="AA1097">
            <v>32939</v>
          </cell>
        </row>
        <row r="1098">
          <cell r="P1098">
            <v>0</v>
          </cell>
          <cell r="S1098" t="str">
            <v xml:space="preserve">32939 </v>
          </cell>
          <cell r="AA1098">
            <v>32939</v>
          </cell>
        </row>
        <row r="1099">
          <cell r="P1099">
            <v>0</v>
          </cell>
          <cell r="S1099" t="str">
            <v xml:space="preserve">32939 </v>
          </cell>
          <cell r="AA1099">
            <v>32939</v>
          </cell>
        </row>
        <row r="1100">
          <cell r="P1100">
            <v>0</v>
          </cell>
          <cell r="S1100" t="str">
            <v xml:space="preserve">32939 </v>
          </cell>
          <cell r="AA1100">
            <v>32939</v>
          </cell>
        </row>
        <row r="1101">
          <cell r="P1101">
            <v>0</v>
          </cell>
          <cell r="S1101" t="str">
            <v xml:space="preserve">32939 </v>
          </cell>
          <cell r="AA1101">
            <v>32939</v>
          </cell>
        </row>
        <row r="1102">
          <cell r="P1102">
            <v>0</v>
          </cell>
          <cell r="S1102" t="str">
            <v xml:space="preserve">32939 </v>
          </cell>
          <cell r="AA1102">
            <v>32939</v>
          </cell>
        </row>
        <row r="1103">
          <cell r="P1103">
            <v>0</v>
          </cell>
          <cell r="S1103" t="str">
            <v xml:space="preserve">32939 </v>
          </cell>
          <cell r="AA1103">
            <v>32939</v>
          </cell>
        </row>
        <row r="1104">
          <cell r="P1104">
            <v>0</v>
          </cell>
          <cell r="S1104" t="str">
            <v xml:space="preserve">32939 </v>
          </cell>
          <cell r="AA1104">
            <v>32939</v>
          </cell>
        </row>
        <row r="1105">
          <cell r="P1105">
            <v>0</v>
          </cell>
          <cell r="S1105" t="str">
            <v xml:space="preserve">32939 </v>
          </cell>
          <cell r="AA1105">
            <v>32939</v>
          </cell>
        </row>
        <row r="1106">
          <cell r="P1106">
            <v>0</v>
          </cell>
          <cell r="S1106" t="str">
            <v xml:space="preserve">32939 </v>
          </cell>
          <cell r="AA1106">
            <v>32939</v>
          </cell>
        </row>
        <row r="1107">
          <cell r="P1107">
            <v>0</v>
          </cell>
          <cell r="S1107" t="str">
            <v xml:space="preserve">32939 </v>
          </cell>
          <cell r="AA1107">
            <v>32939</v>
          </cell>
        </row>
        <row r="1108">
          <cell r="P1108">
            <v>0</v>
          </cell>
          <cell r="S1108" t="str">
            <v xml:space="preserve">32939 </v>
          </cell>
          <cell r="AA1108">
            <v>32939</v>
          </cell>
        </row>
        <row r="1109">
          <cell r="P1109">
            <v>0</v>
          </cell>
          <cell r="S1109" t="str">
            <v xml:space="preserve">32939 </v>
          </cell>
          <cell r="AA1109">
            <v>32939</v>
          </cell>
        </row>
        <row r="1110">
          <cell r="P1110">
            <v>0</v>
          </cell>
          <cell r="S1110" t="str">
            <v xml:space="preserve">32939 </v>
          </cell>
          <cell r="AA1110">
            <v>32939</v>
          </cell>
        </row>
        <row r="1111">
          <cell r="P1111">
            <v>0</v>
          </cell>
          <cell r="S1111" t="str">
            <v xml:space="preserve">32939 </v>
          </cell>
          <cell r="AA1111">
            <v>32939</v>
          </cell>
        </row>
        <row r="1112">
          <cell r="P1112">
            <v>0</v>
          </cell>
          <cell r="S1112" t="str">
            <v xml:space="preserve">32939 </v>
          </cell>
          <cell r="AA1112">
            <v>32939</v>
          </cell>
        </row>
        <row r="1113">
          <cell r="P1113">
            <v>0</v>
          </cell>
          <cell r="S1113" t="str">
            <v xml:space="preserve">32939 </v>
          </cell>
          <cell r="AA1113">
            <v>32939</v>
          </cell>
        </row>
        <row r="1114">
          <cell r="P1114">
            <v>0</v>
          </cell>
          <cell r="S1114" t="str">
            <v xml:space="preserve">32939 </v>
          </cell>
          <cell r="AA1114">
            <v>32939</v>
          </cell>
        </row>
        <row r="1115">
          <cell r="P1115">
            <v>0</v>
          </cell>
          <cell r="S1115" t="str">
            <v xml:space="preserve">32939 </v>
          </cell>
          <cell r="AA1115">
            <v>32939</v>
          </cell>
        </row>
        <row r="1116">
          <cell r="P1116">
            <v>0</v>
          </cell>
          <cell r="S1116" t="str">
            <v xml:space="preserve">32939 </v>
          </cell>
          <cell r="AA1116">
            <v>32939</v>
          </cell>
        </row>
        <row r="1117">
          <cell r="P1117">
            <v>0</v>
          </cell>
          <cell r="S1117" t="str">
            <v xml:space="preserve">32939 </v>
          </cell>
          <cell r="AA1117">
            <v>32939</v>
          </cell>
        </row>
        <row r="1118">
          <cell r="P1118">
            <v>0</v>
          </cell>
          <cell r="S1118" t="str">
            <v xml:space="preserve">32939 </v>
          </cell>
          <cell r="AA1118">
            <v>32939</v>
          </cell>
        </row>
        <row r="1119">
          <cell r="P1119">
            <v>0</v>
          </cell>
          <cell r="S1119" t="str">
            <v xml:space="preserve">32939 </v>
          </cell>
          <cell r="AA1119">
            <v>32939</v>
          </cell>
        </row>
        <row r="1120">
          <cell r="P1120">
            <v>0</v>
          </cell>
          <cell r="S1120" t="str">
            <v xml:space="preserve">32939 </v>
          </cell>
          <cell r="AA1120">
            <v>32939</v>
          </cell>
        </row>
        <row r="1121">
          <cell r="P1121">
            <v>0</v>
          </cell>
          <cell r="S1121" t="str">
            <v xml:space="preserve">32939 </v>
          </cell>
          <cell r="AA1121">
            <v>32939</v>
          </cell>
        </row>
        <row r="1122">
          <cell r="P1122">
            <v>0</v>
          </cell>
          <cell r="S1122" t="str">
            <v xml:space="preserve">32939 </v>
          </cell>
          <cell r="AA1122">
            <v>32939</v>
          </cell>
        </row>
        <row r="1123">
          <cell r="P1123">
            <v>0</v>
          </cell>
          <cell r="S1123" t="str">
            <v xml:space="preserve">32939 </v>
          </cell>
          <cell r="AA1123">
            <v>32939</v>
          </cell>
        </row>
        <row r="1124">
          <cell r="P1124">
            <v>0</v>
          </cell>
          <cell r="S1124" t="str">
            <v xml:space="preserve">32939 </v>
          </cell>
          <cell r="AA1124">
            <v>32939</v>
          </cell>
        </row>
        <row r="1125">
          <cell r="P1125">
            <v>0</v>
          </cell>
          <cell r="S1125" t="str">
            <v xml:space="preserve">32939 </v>
          </cell>
          <cell r="AA1125">
            <v>32939</v>
          </cell>
        </row>
        <row r="1126">
          <cell r="P1126">
            <v>0</v>
          </cell>
          <cell r="S1126" t="str">
            <v xml:space="preserve">32939 </v>
          </cell>
          <cell r="AA1126">
            <v>32939</v>
          </cell>
        </row>
        <row r="1127">
          <cell r="P1127">
            <v>0</v>
          </cell>
          <cell r="S1127" t="str">
            <v xml:space="preserve">32939 </v>
          </cell>
          <cell r="AA1127">
            <v>32939</v>
          </cell>
        </row>
        <row r="1128">
          <cell r="P1128">
            <v>0</v>
          </cell>
          <cell r="S1128" t="str">
            <v xml:space="preserve">32939 </v>
          </cell>
          <cell r="AA1128">
            <v>32939</v>
          </cell>
        </row>
        <row r="1129">
          <cell r="P1129">
            <v>0</v>
          </cell>
          <cell r="S1129" t="str">
            <v xml:space="preserve">32939 </v>
          </cell>
          <cell r="AA1129">
            <v>32939</v>
          </cell>
        </row>
        <row r="1130">
          <cell r="P1130">
            <v>0</v>
          </cell>
          <cell r="S1130" t="str">
            <v xml:space="preserve">32939 </v>
          </cell>
          <cell r="AA1130">
            <v>32939</v>
          </cell>
        </row>
        <row r="1131">
          <cell r="P1131">
            <v>0</v>
          </cell>
          <cell r="S1131" t="str">
            <v xml:space="preserve">32939 </v>
          </cell>
          <cell r="AA1131">
            <v>32939</v>
          </cell>
        </row>
        <row r="1132">
          <cell r="P1132">
            <v>0</v>
          </cell>
          <cell r="S1132" t="str">
            <v xml:space="preserve">32939 </v>
          </cell>
          <cell r="AA1132">
            <v>32939</v>
          </cell>
        </row>
        <row r="1133">
          <cell r="P1133">
            <v>0</v>
          </cell>
          <cell r="S1133" t="str">
            <v xml:space="preserve">32939 </v>
          </cell>
          <cell r="AA1133">
            <v>32939</v>
          </cell>
        </row>
        <row r="1134">
          <cell r="P1134">
            <v>0</v>
          </cell>
          <cell r="S1134" t="str">
            <v xml:space="preserve">32939 </v>
          </cell>
          <cell r="AA1134">
            <v>32939</v>
          </cell>
        </row>
        <row r="1135">
          <cell r="P1135">
            <v>0</v>
          </cell>
          <cell r="S1135" t="str">
            <v xml:space="preserve">32939 </v>
          </cell>
          <cell r="AA1135">
            <v>32939</v>
          </cell>
        </row>
        <row r="1136">
          <cell r="P1136">
            <v>0</v>
          </cell>
          <cell r="S1136" t="str">
            <v xml:space="preserve">32939 </v>
          </cell>
          <cell r="AA1136">
            <v>32939</v>
          </cell>
        </row>
        <row r="1137">
          <cell r="P1137">
            <v>0</v>
          </cell>
          <cell r="S1137" t="str">
            <v xml:space="preserve">32939 </v>
          </cell>
          <cell r="AA1137">
            <v>32939</v>
          </cell>
        </row>
        <row r="1138">
          <cell r="P1138">
            <v>0</v>
          </cell>
          <cell r="S1138" t="str">
            <v xml:space="preserve">32939 </v>
          </cell>
          <cell r="AA1138">
            <v>32939</v>
          </cell>
        </row>
        <row r="1139">
          <cell r="P1139">
            <v>0</v>
          </cell>
          <cell r="S1139" t="str">
            <v xml:space="preserve">32939 </v>
          </cell>
          <cell r="AA1139">
            <v>32939</v>
          </cell>
        </row>
        <row r="1140">
          <cell r="P1140">
            <v>0</v>
          </cell>
          <cell r="S1140" t="str">
            <v xml:space="preserve">32939 </v>
          </cell>
          <cell r="AA1140">
            <v>32939</v>
          </cell>
        </row>
        <row r="1141">
          <cell r="P1141">
            <v>0</v>
          </cell>
          <cell r="S1141" t="str">
            <v xml:space="preserve">32939 </v>
          </cell>
          <cell r="AA1141">
            <v>32939</v>
          </cell>
        </row>
        <row r="1142">
          <cell r="P1142">
            <v>0</v>
          </cell>
          <cell r="S1142" t="str">
            <v xml:space="preserve">32939 </v>
          </cell>
          <cell r="AA1142">
            <v>32939</v>
          </cell>
        </row>
        <row r="1143">
          <cell r="P1143">
            <v>0</v>
          </cell>
          <cell r="S1143" t="str">
            <v xml:space="preserve">32939 </v>
          </cell>
          <cell r="AA1143">
            <v>32939</v>
          </cell>
        </row>
        <row r="1144">
          <cell r="P1144">
            <v>0</v>
          </cell>
          <cell r="S1144" t="str">
            <v xml:space="preserve">32939 </v>
          </cell>
          <cell r="AA1144">
            <v>32939</v>
          </cell>
        </row>
        <row r="1145">
          <cell r="P1145">
            <v>0</v>
          </cell>
          <cell r="S1145" t="str">
            <v xml:space="preserve">32939 </v>
          </cell>
          <cell r="AA1145">
            <v>32939</v>
          </cell>
        </row>
        <row r="1146">
          <cell r="P1146">
            <v>0</v>
          </cell>
          <cell r="S1146" t="str">
            <v xml:space="preserve">32939 </v>
          </cell>
          <cell r="AA1146">
            <v>32939</v>
          </cell>
        </row>
        <row r="1147">
          <cell r="P1147">
            <v>0</v>
          </cell>
          <cell r="S1147" t="str">
            <v xml:space="preserve">32939 </v>
          </cell>
          <cell r="AA1147">
            <v>32939</v>
          </cell>
        </row>
        <row r="1148">
          <cell r="P1148">
            <v>0</v>
          </cell>
          <cell r="S1148" t="str">
            <v xml:space="preserve">32939 </v>
          </cell>
          <cell r="AA1148">
            <v>32939</v>
          </cell>
        </row>
        <row r="1149">
          <cell r="P1149">
            <v>0</v>
          </cell>
          <cell r="S1149" t="str">
            <v xml:space="preserve">32939 </v>
          </cell>
          <cell r="AA1149">
            <v>32939</v>
          </cell>
        </row>
        <row r="1150">
          <cell r="P1150">
            <v>0</v>
          </cell>
          <cell r="S1150" t="str">
            <v xml:space="preserve">32939 </v>
          </cell>
          <cell r="AA1150">
            <v>32939</v>
          </cell>
        </row>
        <row r="1151">
          <cell r="P1151">
            <v>0</v>
          </cell>
          <cell r="S1151" t="str">
            <v xml:space="preserve">32939 </v>
          </cell>
          <cell r="AA1151">
            <v>32939</v>
          </cell>
        </row>
        <row r="1152">
          <cell r="P1152">
            <v>0</v>
          </cell>
          <cell r="S1152" t="str">
            <v xml:space="preserve">32939 </v>
          </cell>
          <cell r="AA1152">
            <v>32939</v>
          </cell>
        </row>
        <row r="1153">
          <cell r="P1153">
            <v>0</v>
          </cell>
          <cell r="S1153" t="str">
            <v xml:space="preserve">32939 </v>
          </cell>
          <cell r="AA1153">
            <v>32939</v>
          </cell>
        </row>
        <row r="1154">
          <cell r="P1154">
            <v>0</v>
          </cell>
          <cell r="S1154" t="str">
            <v xml:space="preserve">32939 </v>
          </cell>
          <cell r="AA1154">
            <v>32939</v>
          </cell>
        </row>
        <row r="1155">
          <cell r="P1155">
            <v>0</v>
          </cell>
          <cell r="S1155" t="str">
            <v xml:space="preserve">32939 </v>
          </cell>
          <cell r="AA1155">
            <v>32939</v>
          </cell>
        </row>
        <row r="1156">
          <cell r="P1156">
            <v>0</v>
          </cell>
          <cell r="S1156" t="str">
            <v xml:space="preserve">32939 </v>
          </cell>
          <cell r="AA1156">
            <v>32939</v>
          </cell>
        </row>
        <row r="1157">
          <cell r="P1157">
            <v>0</v>
          </cell>
          <cell r="S1157" t="str">
            <v xml:space="preserve">32939 </v>
          </cell>
          <cell r="AA1157">
            <v>32939</v>
          </cell>
        </row>
        <row r="1158">
          <cell r="P1158">
            <v>0</v>
          </cell>
          <cell r="S1158" t="str">
            <v xml:space="preserve">32939 </v>
          </cell>
          <cell r="AA1158">
            <v>32939</v>
          </cell>
        </row>
        <row r="1159">
          <cell r="P1159">
            <v>0</v>
          </cell>
          <cell r="S1159" t="str">
            <v xml:space="preserve">32939 </v>
          </cell>
          <cell r="AA1159">
            <v>32939</v>
          </cell>
        </row>
        <row r="1160">
          <cell r="P1160">
            <v>0</v>
          </cell>
          <cell r="S1160" t="str">
            <v xml:space="preserve">32939 </v>
          </cell>
          <cell r="AA1160">
            <v>32939</v>
          </cell>
        </row>
        <row r="1161">
          <cell r="P1161">
            <v>0</v>
          </cell>
          <cell r="S1161" t="str">
            <v xml:space="preserve">32939 </v>
          </cell>
          <cell r="AA1161">
            <v>32939</v>
          </cell>
        </row>
        <row r="1162">
          <cell r="P1162">
            <v>0</v>
          </cell>
          <cell r="S1162" t="str">
            <v xml:space="preserve">32939 </v>
          </cell>
          <cell r="AA1162">
            <v>32939</v>
          </cell>
        </row>
        <row r="1163">
          <cell r="P1163">
            <v>0</v>
          </cell>
          <cell r="S1163" t="str">
            <v xml:space="preserve">32939 </v>
          </cell>
          <cell r="AA1163">
            <v>32939</v>
          </cell>
        </row>
        <row r="1164">
          <cell r="P1164">
            <v>0</v>
          </cell>
          <cell r="S1164" t="str">
            <v xml:space="preserve">32939 </v>
          </cell>
          <cell r="AA1164">
            <v>32939</v>
          </cell>
        </row>
        <row r="1165">
          <cell r="P1165">
            <v>0</v>
          </cell>
          <cell r="S1165" t="str">
            <v xml:space="preserve">32939 </v>
          </cell>
          <cell r="AA1165">
            <v>32939</v>
          </cell>
        </row>
        <row r="1166">
          <cell r="P1166">
            <v>0</v>
          </cell>
          <cell r="S1166" t="str">
            <v xml:space="preserve">32939 </v>
          </cell>
          <cell r="AA1166">
            <v>32939</v>
          </cell>
        </row>
        <row r="1167">
          <cell r="P1167">
            <v>0</v>
          </cell>
          <cell r="S1167" t="str">
            <v xml:space="preserve">32939 </v>
          </cell>
          <cell r="AA1167">
            <v>32939</v>
          </cell>
        </row>
        <row r="1168">
          <cell r="P1168">
            <v>0</v>
          </cell>
          <cell r="S1168" t="str">
            <v xml:space="preserve">32939 </v>
          </cell>
          <cell r="AA1168">
            <v>32939</v>
          </cell>
        </row>
        <row r="1169">
          <cell r="P1169">
            <v>0</v>
          </cell>
          <cell r="S1169" t="str">
            <v xml:space="preserve">32939 </v>
          </cell>
          <cell r="AA1169">
            <v>32939</v>
          </cell>
        </row>
        <row r="1170">
          <cell r="P1170">
            <v>0</v>
          </cell>
          <cell r="S1170" t="str">
            <v xml:space="preserve">32939 </v>
          </cell>
          <cell r="AA1170">
            <v>32939</v>
          </cell>
        </row>
        <row r="1171">
          <cell r="P1171">
            <v>0</v>
          </cell>
          <cell r="S1171" t="str">
            <v xml:space="preserve">32939 </v>
          </cell>
          <cell r="AA1171">
            <v>32939</v>
          </cell>
        </row>
        <row r="1172">
          <cell r="P1172">
            <v>0</v>
          </cell>
          <cell r="S1172" t="str">
            <v xml:space="preserve">32939 </v>
          </cell>
          <cell r="AA1172">
            <v>32939</v>
          </cell>
        </row>
        <row r="1173">
          <cell r="P1173">
            <v>0</v>
          </cell>
          <cell r="S1173" t="str">
            <v xml:space="preserve">32939 </v>
          </cell>
          <cell r="AA1173">
            <v>32939</v>
          </cell>
        </row>
        <row r="1174">
          <cell r="P1174">
            <v>0</v>
          </cell>
          <cell r="S1174" t="str">
            <v xml:space="preserve">32939 </v>
          </cell>
          <cell r="AA1174">
            <v>32939</v>
          </cell>
        </row>
        <row r="1175">
          <cell r="P1175">
            <v>0</v>
          </cell>
          <cell r="S1175" t="str">
            <v xml:space="preserve">32939 </v>
          </cell>
          <cell r="AA1175">
            <v>32939</v>
          </cell>
        </row>
        <row r="1176">
          <cell r="P1176">
            <v>0</v>
          </cell>
          <cell r="S1176" t="str">
            <v xml:space="preserve">32939 </v>
          </cell>
          <cell r="AA1176">
            <v>32939</v>
          </cell>
        </row>
        <row r="1177">
          <cell r="P1177">
            <v>0</v>
          </cell>
          <cell r="S1177" t="str">
            <v xml:space="preserve">32939 </v>
          </cell>
          <cell r="AA1177">
            <v>32939</v>
          </cell>
        </row>
        <row r="1178">
          <cell r="P1178">
            <v>0</v>
          </cell>
          <cell r="S1178" t="str">
            <v xml:space="preserve">32939 </v>
          </cell>
          <cell r="AA1178">
            <v>32939</v>
          </cell>
        </row>
        <row r="1179">
          <cell r="P1179">
            <v>0</v>
          </cell>
          <cell r="S1179" t="str">
            <v xml:space="preserve">32939 </v>
          </cell>
          <cell r="AA1179">
            <v>32939</v>
          </cell>
        </row>
        <row r="1180">
          <cell r="P1180">
            <v>0</v>
          </cell>
          <cell r="S1180" t="str">
            <v xml:space="preserve">32939 </v>
          </cell>
          <cell r="AA1180">
            <v>32939</v>
          </cell>
        </row>
        <row r="1181">
          <cell r="P1181">
            <v>0</v>
          </cell>
          <cell r="S1181" t="str">
            <v xml:space="preserve">32939 </v>
          </cell>
          <cell r="AA1181">
            <v>32939</v>
          </cell>
        </row>
        <row r="1182">
          <cell r="P1182">
            <v>0</v>
          </cell>
          <cell r="S1182" t="str">
            <v xml:space="preserve">32939 </v>
          </cell>
          <cell r="AA1182">
            <v>32939</v>
          </cell>
        </row>
        <row r="1183">
          <cell r="P1183">
            <v>0</v>
          </cell>
          <cell r="S1183" t="str">
            <v xml:space="preserve">32939 </v>
          </cell>
          <cell r="AA1183">
            <v>32939</v>
          </cell>
        </row>
        <row r="1184">
          <cell r="P1184">
            <v>0</v>
          </cell>
          <cell r="S1184" t="str">
            <v xml:space="preserve">32939 </v>
          </cell>
          <cell r="AA1184">
            <v>32939</v>
          </cell>
        </row>
        <row r="1185">
          <cell r="P1185">
            <v>0</v>
          </cell>
          <cell r="S1185" t="str">
            <v xml:space="preserve">32939 </v>
          </cell>
          <cell r="AA1185">
            <v>32939</v>
          </cell>
        </row>
        <row r="1186">
          <cell r="P1186">
            <v>0</v>
          </cell>
          <cell r="S1186" t="str">
            <v xml:space="preserve">32939 </v>
          </cell>
          <cell r="AA1186">
            <v>32939</v>
          </cell>
        </row>
        <row r="1187">
          <cell r="P1187">
            <v>0</v>
          </cell>
          <cell r="S1187" t="str">
            <v xml:space="preserve">32939 </v>
          </cell>
          <cell r="AA1187">
            <v>32939</v>
          </cell>
        </row>
        <row r="1188">
          <cell r="P1188">
            <v>0</v>
          </cell>
          <cell r="S1188" t="str">
            <v xml:space="preserve">32939 </v>
          </cell>
          <cell r="AA1188">
            <v>32939</v>
          </cell>
        </row>
        <row r="1189">
          <cell r="P1189">
            <v>0</v>
          </cell>
          <cell r="S1189" t="str">
            <v xml:space="preserve">32939 </v>
          </cell>
          <cell r="AA1189">
            <v>32939</v>
          </cell>
        </row>
        <row r="1190">
          <cell r="P1190">
            <v>0</v>
          </cell>
          <cell r="S1190" t="str">
            <v xml:space="preserve">32939 </v>
          </cell>
          <cell r="AA1190">
            <v>32939</v>
          </cell>
        </row>
        <row r="1191">
          <cell r="P1191">
            <v>0</v>
          </cell>
          <cell r="S1191" t="str">
            <v xml:space="preserve">32939 </v>
          </cell>
          <cell r="AA1191">
            <v>32939</v>
          </cell>
        </row>
        <row r="1192">
          <cell r="P1192">
            <v>0</v>
          </cell>
          <cell r="S1192" t="str">
            <v xml:space="preserve">32939 </v>
          </cell>
          <cell r="AA1192">
            <v>32939</v>
          </cell>
        </row>
        <row r="1193">
          <cell r="P1193">
            <v>0</v>
          </cell>
          <cell r="S1193" t="str">
            <v xml:space="preserve">32939 </v>
          </cell>
          <cell r="AA1193">
            <v>32939</v>
          </cell>
        </row>
        <row r="1194">
          <cell r="P1194">
            <v>0</v>
          </cell>
          <cell r="S1194" t="str">
            <v xml:space="preserve">32939 </v>
          </cell>
          <cell r="AA1194">
            <v>32939</v>
          </cell>
        </row>
        <row r="1195">
          <cell r="P1195">
            <v>0</v>
          </cell>
          <cell r="S1195" t="str">
            <v xml:space="preserve">32939 </v>
          </cell>
          <cell r="AA1195">
            <v>32939</v>
          </cell>
        </row>
        <row r="1196">
          <cell r="P1196">
            <v>0</v>
          </cell>
          <cell r="S1196" t="str">
            <v xml:space="preserve">32939 </v>
          </cell>
          <cell r="AA1196">
            <v>32939</v>
          </cell>
        </row>
        <row r="1197">
          <cell r="P1197">
            <v>0</v>
          </cell>
          <cell r="S1197" t="str">
            <v xml:space="preserve">32939 </v>
          </cell>
          <cell r="AA1197">
            <v>32939</v>
          </cell>
        </row>
        <row r="1198">
          <cell r="P1198">
            <v>0</v>
          </cell>
          <cell r="S1198" t="str">
            <v xml:space="preserve">32939 </v>
          </cell>
          <cell r="AA1198">
            <v>32939</v>
          </cell>
        </row>
        <row r="1199">
          <cell r="P1199">
            <v>0</v>
          </cell>
          <cell r="S1199" t="str">
            <v xml:space="preserve">32939 </v>
          </cell>
          <cell r="AA1199">
            <v>32939</v>
          </cell>
        </row>
        <row r="1200">
          <cell r="P1200">
            <v>0</v>
          </cell>
          <cell r="S1200" t="str">
            <v xml:space="preserve">32939 </v>
          </cell>
          <cell r="AA1200">
            <v>32939</v>
          </cell>
        </row>
        <row r="1201">
          <cell r="P1201">
            <v>0</v>
          </cell>
          <cell r="S1201" t="str">
            <v xml:space="preserve">32939 </v>
          </cell>
          <cell r="AA1201">
            <v>32939</v>
          </cell>
        </row>
        <row r="1202">
          <cell r="P1202">
            <v>0</v>
          </cell>
          <cell r="S1202" t="str">
            <v xml:space="preserve">32939 </v>
          </cell>
          <cell r="AA1202">
            <v>32939</v>
          </cell>
        </row>
        <row r="1203">
          <cell r="P1203">
            <v>0</v>
          </cell>
          <cell r="S1203" t="str">
            <v xml:space="preserve">32939 </v>
          </cell>
          <cell r="AA1203">
            <v>32939</v>
          </cell>
        </row>
        <row r="1204">
          <cell r="P1204">
            <v>0</v>
          </cell>
          <cell r="S1204" t="str">
            <v xml:space="preserve">32939 </v>
          </cell>
          <cell r="AA1204">
            <v>32939</v>
          </cell>
        </row>
        <row r="1205">
          <cell r="P1205">
            <v>0</v>
          </cell>
          <cell r="S1205" t="str">
            <v xml:space="preserve">32939 </v>
          </cell>
          <cell r="AA1205">
            <v>32939</v>
          </cell>
        </row>
        <row r="1206">
          <cell r="P1206">
            <v>0</v>
          </cell>
          <cell r="S1206" t="str">
            <v xml:space="preserve">32939 </v>
          </cell>
          <cell r="AA1206">
            <v>32939</v>
          </cell>
        </row>
        <row r="1207">
          <cell r="P1207">
            <v>0</v>
          </cell>
          <cell r="S1207" t="str">
            <v xml:space="preserve">32939 </v>
          </cell>
          <cell r="AA1207">
            <v>32939</v>
          </cell>
        </row>
        <row r="1208">
          <cell r="P1208">
            <v>0</v>
          </cell>
          <cell r="S1208" t="str">
            <v xml:space="preserve">32939 </v>
          </cell>
          <cell r="AA1208">
            <v>32939</v>
          </cell>
        </row>
        <row r="1209">
          <cell r="P1209">
            <v>0</v>
          </cell>
          <cell r="S1209" t="str">
            <v xml:space="preserve">32939 </v>
          </cell>
          <cell r="AA1209">
            <v>32939</v>
          </cell>
        </row>
        <row r="1210">
          <cell r="P1210">
            <v>0</v>
          </cell>
          <cell r="S1210" t="str">
            <v xml:space="preserve">32939 </v>
          </cell>
          <cell r="AA1210">
            <v>32939</v>
          </cell>
        </row>
        <row r="1211">
          <cell r="P1211">
            <v>0</v>
          </cell>
          <cell r="S1211" t="str">
            <v xml:space="preserve">32939 </v>
          </cell>
          <cell r="AA1211">
            <v>32939</v>
          </cell>
        </row>
        <row r="1212">
          <cell r="P1212">
            <v>0</v>
          </cell>
          <cell r="S1212" t="str">
            <v xml:space="preserve">32939 </v>
          </cell>
          <cell r="AA1212">
            <v>32939</v>
          </cell>
        </row>
        <row r="1213">
          <cell r="P1213">
            <v>0</v>
          </cell>
          <cell r="S1213" t="str">
            <v xml:space="preserve">32939 </v>
          </cell>
          <cell r="AA1213">
            <v>32939</v>
          </cell>
        </row>
        <row r="1214">
          <cell r="P1214">
            <v>0</v>
          </cell>
          <cell r="S1214" t="str">
            <v xml:space="preserve">32939 </v>
          </cell>
          <cell r="AA1214">
            <v>32939</v>
          </cell>
        </row>
        <row r="1215">
          <cell r="P1215">
            <v>0</v>
          </cell>
          <cell r="S1215" t="str">
            <v xml:space="preserve">32939 </v>
          </cell>
          <cell r="AA1215">
            <v>32939</v>
          </cell>
        </row>
        <row r="1216">
          <cell r="P1216">
            <v>0</v>
          </cell>
          <cell r="S1216" t="str">
            <v xml:space="preserve">32939 </v>
          </cell>
          <cell r="AA1216">
            <v>32939</v>
          </cell>
        </row>
        <row r="1217">
          <cell r="P1217">
            <v>0</v>
          </cell>
          <cell r="S1217" t="str">
            <v xml:space="preserve">32939 </v>
          </cell>
          <cell r="AA1217">
            <v>32939</v>
          </cell>
        </row>
        <row r="1218">
          <cell r="P1218">
            <v>0</v>
          </cell>
          <cell r="S1218" t="str">
            <v xml:space="preserve">32939 </v>
          </cell>
          <cell r="AA1218">
            <v>32939</v>
          </cell>
        </row>
        <row r="1219">
          <cell r="P1219">
            <v>0</v>
          </cell>
          <cell r="S1219" t="str">
            <v xml:space="preserve">32939 </v>
          </cell>
          <cell r="AA1219">
            <v>32939</v>
          </cell>
        </row>
        <row r="1220">
          <cell r="P1220">
            <v>0</v>
          </cell>
          <cell r="S1220" t="str">
            <v xml:space="preserve">32939 </v>
          </cell>
          <cell r="AA1220">
            <v>32939</v>
          </cell>
        </row>
        <row r="1221">
          <cell r="P1221">
            <v>0</v>
          </cell>
          <cell r="S1221" t="str">
            <v xml:space="preserve">32939 </v>
          </cell>
          <cell r="AA1221">
            <v>32939</v>
          </cell>
        </row>
        <row r="1222">
          <cell r="P1222">
            <v>0</v>
          </cell>
          <cell r="S1222" t="str">
            <v xml:space="preserve">32939 </v>
          </cell>
          <cell r="AA1222">
            <v>32939</v>
          </cell>
        </row>
        <row r="1223">
          <cell r="P1223">
            <v>0</v>
          </cell>
          <cell r="S1223" t="str">
            <v xml:space="preserve">32939 </v>
          </cell>
          <cell r="AA1223">
            <v>32939</v>
          </cell>
        </row>
        <row r="1224">
          <cell r="P1224">
            <v>0</v>
          </cell>
          <cell r="S1224" t="str">
            <v xml:space="preserve">32939 </v>
          </cell>
          <cell r="AA1224">
            <v>32939</v>
          </cell>
        </row>
        <row r="1225">
          <cell r="P1225">
            <v>0</v>
          </cell>
          <cell r="S1225" t="str">
            <v xml:space="preserve">32939 </v>
          </cell>
          <cell r="AA1225">
            <v>32939</v>
          </cell>
        </row>
        <row r="1226">
          <cell r="P1226">
            <v>0</v>
          </cell>
          <cell r="S1226" t="str">
            <v xml:space="preserve">32939 </v>
          </cell>
          <cell r="AA1226">
            <v>32939</v>
          </cell>
        </row>
        <row r="1227">
          <cell r="P1227">
            <v>0</v>
          </cell>
          <cell r="S1227" t="str">
            <v xml:space="preserve">32939 </v>
          </cell>
          <cell r="AA1227">
            <v>32939</v>
          </cell>
        </row>
        <row r="1228">
          <cell r="P1228">
            <v>0</v>
          </cell>
          <cell r="S1228" t="str">
            <v xml:space="preserve">32939 </v>
          </cell>
          <cell r="AA1228">
            <v>32939</v>
          </cell>
        </row>
        <row r="1229">
          <cell r="P1229">
            <v>0</v>
          </cell>
          <cell r="S1229" t="str">
            <v xml:space="preserve">32939 </v>
          </cell>
          <cell r="AA1229">
            <v>32939</v>
          </cell>
        </row>
        <row r="1230">
          <cell r="P1230">
            <v>0</v>
          </cell>
          <cell r="S1230" t="str">
            <v xml:space="preserve">32939 </v>
          </cell>
          <cell r="AA1230">
            <v>32939</v>
          </cell>
        </row>
        <row r="1231">
          <cell r="P1231">
            <v>0</v>
          </cell>
          <cell r="S1231" t="str">
            <v xml:space="preserve">32939 </v>
          </cell>
          <cell r="AA1231">
            <v>32939</v>
          </cell>
        </row>
        <row r="1232">
          <cell r="P1232">
            <v>0</v>
          </cell>
          <cell r="S1232" t="str">
            <v xml:space="preserve">32939 </v>
          </cell>
          <cell r="AA1232">
            <v>32939</v>
          </cell>
        </row>
        <row r="1233">
          <cell r="P1233">
            <v>0</v>
          </cell>
          <cell r="S1233" t="str">
            <v xml:space="preserve">32939 </v>
          </cell>
          <cell r="AA1233">
            <v>32939</v>
          </cell>
        </row>
        <row r="1234">
          <cell r="P1234">
            <v>0</v>
          </cell>
          <cell r="S1234" t="str">
            <v xml:space="preserve">32939 </v>
          </cell>
          <cell r="AA1234">
            <v>32939</v>
          </cell>
        </row>
        <row r="1235">
          <cell r="P1235">
            <v>0</v>
          </cell>
          <cell r="S1235" t="str">
            <v xml:space="preserve">32939 </v>
          </cell>
          <cell r="AA1235">
            <v>32939</v>
          </cell>
        </row>
        <row r="1236">
          <cell r="P1236">
            <v>0</v>
          </cell>
          <cell r="S1236" t="str">
            <v xml:space="preserve">32939 </v>
          </cell>
          <cell r="AA1236">
            <v>32939</v>
          </cell>
        </row>
        <row r="1237">
          <cell r="P1237">
            <v>0</v>
          </cell>
          <cell r="S1237" t="str">
            <v xml:space="preserve">32939 </v>
          </cell>
          <cell r="AA1237">
            <v>32939</v>
          </cell>
        </row>
        <row r="1238">
          <cell r="P1238">
            <v>0</v>
          </cell>
          <cell r="S1238" t="str">
            <v xml:space="preserve">32939 </v>
          </cell>
          <cell r="AA1238">
            <v>32939</v>
          </cell>
        </row>
        <row r="1239">
          <cell r="P1239">
            <v>0</v>
          </cell>
          <cell r="S1239" t="str">
            <v xml:space="preserve">32939 </v>
          </cell>
          <cell r="AA1239">
            <v>32939</v>
          </cell>
        </row>
        <row r="1240">
          <cell r="P1240">
            <v>0</v>
          </cell>
          <cell r="S1240" t="str">
            <v xml:space="preserve">32939 </v>
          </cell>
          <cell r="AA1240">
            <v>32939</v>
          </cell>
        </row>
        <row r="1241">
          <cell r="P1241">
            <v>0</v>
          </cell>
          <cell r="S1241" t="str">
            <v xml:space="preserve">32939 </v>
          </cell>
          <cell r="AA1241">
            <v>32939</v>
          </cell>
        </row>
        <row r="1242">
          <cell r="P1242">
            <v>0</v>
          </cell>
          <cell r="S1242" t="str">
            <v xml:space="preserve">32939 </v>
          </cell>
          <cell r="AA1242">
            <v>32939</v>
          </cell>
        </row>
        <row r="1243">
          <cell r="P1243">
            <v>0</v>
          </cell>
          <cell r="S1243" t="str">
            <v xml:space="preserve">32939 </v>
          </cell>
          <cell r="AA1243">
            <v>32939</v>
          </cell>
        </row>
        <row r="1244">
          <cell r="P1244">
            <v>0</v>
          </cell>
          <cell r="S1244" t="str">
            <v xml:space="preserve">32939 </v>
          </cell>
          <cell r="AA1244">
            <v>32939</v>
          </cell>
        </row>
        <row r="1245">
          <cell r="P1245">
            <v>0</v>
          </cell>
          <cell r="S1245" t="str">
            <v xml:space="preserve">32939 </v>
          </cell>
          <cell r="AA1245">
            <v>32939</v>
          </cell>
        </row>
        <row r="1246">
          <cell r="P1246">
            <v>0</v>
          </cell>
          <cell r="S1246" t="str">
            <v xml:space="preserve">32939 </v>
          </cell>
          <cell r="AA1246">
            <v>32939</v>
          </cell>
        </row>
        <row r="1247">
          <cell r="P1247">
            <v>0</v>
          </cell>
          <cell r="S1247" t="str">
            <v xml:space="preserve">32939 </v>
          </cell>
          <cell r="AA1247">
            <v>32939</v>
          </cell>
        </row>
        <row r="1248">
          <cell r="P1248">
            <v>0</v>
          </cell>
          <cell r="S1248" t="str">
            <v xml:space="preserve">32939 </v>
          </cell>
          <cell r="AA1248">
            <v>32939</v>
          </cell>
        </row>
        <row r="1249">
          <cell r="P1249">
            <v>0</v>
          </cell>
          <cell r="S1249" t="str">
            <v xml:space="preserve">32939 </v>
          </cell>
          <cell r="AA1249">
            <v>32939</v>
          </cell>
        </row>
        <row r="1250">
          <cell r="P1250">
            <v>0</v>
          </cell>
          <cell r="S1250" t="str">
            <v xml:space="preserve">32939 </v>
          </cell>
          <cell r="AA1250">
            <v>32939</v>
          </cell>
        </row>
        <row r="1251">
          <cell r="P1251">
            <v>0</v>
          </cell>
          <cell r="S1251" t="str">
            <v xml:space="preserve">32939 </v>
          </cell>
          <cell r="AA1251">
            <v>32939</v>
          </cell>
        </row>
        <row r="1252">
          <cell r="P1252">
            <v>0</v>
          </cell>
          <cell r="S1252" t="str">
            <v xml:space="preserve">32939 </v>
          </cell>
          <cell r="AA1252">
            <v>32939</v>
          </cell>
        </row>
        <row r="1253">
          <cell r="P1253">
            <v>0</v>
          </cell>
          <cell r="S1253" t="str">
            <v xml:space="preserve">32939 </v>
          </cell>
          <cell r="AA1253">
            <v>32939</v>
          </cell>
        </row>
        <row r="1254">
          <cell r="P1254">
            <v>0</v>
          </cell>
          <cell r="S1254" t="str">
            <v xml:space="preserve">32939 </v>
          </cell>
          <cell r="AA1254">
            <v>32939</v>
          </cell>
        </row>
        <row r="1255">
          <cell r="P1255">
            <v>0</v>
          </cell>
          <cell r="S1255" t="str">
            <v xml:space="preserve">32939 </v>
          </cell>
          <cell r="AA1255">
            <v>32939</v>
          </cell>
        </row>
        <row r="1256">
          <cell r="P1256">
            <v>0</v>
          </cell>
          <cell r="S1256" t="str">
            <v xml:space="preserve">32939 </v>
          </cell>
          <cell r="AA1256">
            <v>32939</v>
          </cell>
        </row>
        <row r="1257">
          <cell r="P1257">
            <v>0</v>
          </cell>
          <cell r="S1257" t="str">
            <v xml:space="preserve">32939 </v>
          </cell>
          <cell r="AA1257">
            <v>32939</v>
          </cell>
        </row>
        <row r="1258">
          <cell r="P1258">
            <v>0</v>
          </cell>
          <cell r="S1258" t="str">
            <v xml:space="preserve">32939 </v>
          </cell>
          <cell r="AA1258">
            <v>32939</v>
          </cell>
        </row>
        <row r="1259">
          <cell r="P1259">
            <v>0</v>
          </cell>
          <cell r="S1259" t="str">
            <v xml:space="preserve">32939 </v>
          </cell>
          <cell r="AA1259">
            <v>32939</v>
          </cell>
        </row>
        <row r="1260">
          <cell r="P1260">
            <v>0</v>
          </cell>
          <cell r="S1260" t="str">
            <v xml:space="preserve">32939 </v>
          </cell>
          <cell r="AA1260">
            <v>32939</v>
          </cell>
        </row>
        <row r="1261">
          <cell r="P1261">
            <v>0</v>
          </cell>
          <cell r="S1261" t="str">
            <v xml:space="preserve">32939 </v>
          </cell>
          <cell r="AA1261">
            <v>32939</v>
          </cell>
        </row>
        <row r="1262">
          <cell r="P1262">
            <v>0</v>
          </cell>
          <cell r="S1262" t="str">
            <v xml:space="preserve">32939 </v>
          </cell>
          <cell r="AA1262">
            <v>32939</v>
          </cell>
        </row>
        <row r="1263">
          <cell r="P1263">
            <v>0</v>
          </cell>
          <cell r="S1263" t="str">
            <v xml:space="preserve">32939 </v>
          </cell>
          <cell r="AA1263">
            <v>32939</v>
          </cell>
        </row>
        <row r="1264">
          <cell r="P1264">
            <v>0</v>
          </cell>
          <cell r="S1264" t="str">
            <v xml:space="preserve">32939 </v>
          </cell>
          <cell r="AA1264">
            <v>32939</v>
          </cell>
        </row>
        <row r="1265">
          <cell r="P1265">
            <v>0</v>
          </cell>
          <cell r="S1265" t="str">
            <v xml:space="preserve">32939 </v>
          </cell>
          <cell r="AA1265">
            <v>32939</v>
          </cell>
        </row>
        <row r="1266">
          <cell r="P1266">
            <v>0</v>
          </cell>
          <cell r="S1266" t="str">
            <v xml:space="preserve">32939 </v>
          </cell>
          <cell r="AA1266">
            <v>32939</v>
          </cell>
        </row>
        <row r="1267">
          <cell r="P1267">
            <v>0</v>
          </cell>
          <cell r="S1267" t="str">
            <v xml:space="preserve">32939 </v>
          </cell>
          <cell r="AA1267">
            <v>32939</v>
          </cell>
        </row>
        <row r="1268">
          <cell r="P1268">
            <v>0</v>
          </cell>
          <cell r="S1268" t="str">
            <v xml:space="preserve">32939 </v>
          </cell>
          <cell r="AA1268">
            <v>32939</v>
          </cell>
        </row>
        <row r="1269">
          <cell r="P1269">
            <v>0</v>
          </cell>
          <cell r="S1269" t="str">
            <v xml:space="preserve">32939 </v>
          </cell>
          <cell r="AA1269">
            <v>32939</v>
          </cell>
        </row>
        <row r="1270">
          <cell r="P1270">
            <v>0</v>
          </cell>
          <cell r="S1270" t="str">
            <v xml:space="preserve">32939 </v>
          </cell>
          <cell r="AA1270">
            <v>32939</v>
          </cell>
        </row>
        <row r="1271">
          <cell r="P1271">
            <v>0</v>
          </cell>
          <cell r="S1271" t="str">
            <v xml:space="preserve">32939 </v>
          </cell>
          <cell r="AA1271">
            <v>32939</v>
          </cell>
        </row>
        <row r="1272">
          <cell r="P1272">
            <v>0</v>
          </cell>
          <cell r="S1272" t="str">
            <v xml:space="preserve">32939 </v>
          </cell>
          <cell r="AA1272">
            <v>32939</v>
          </cell>
        </row>
        <row r="1273">
          <cell r="P1273">
            <v>0</v>
          </cell>
          <cell r="S1273" t="str">
            <v xml:space="preserve">32939 </v>
          </cell>
          <cell r="AA1273">
            <v>32939</v>
          </cell>
        </row>
        <row r="1274">
          <cell r="P1274">
            <v>0</v>
          </cell>
          <cell r="S1274" t="str">
            <v xml:space="preserve">32939 </v>
          </cell>
          <cell r="AA1274">
            <v>32939</v>
          </cell>
        </row>
        <row r="1275">
          <cell r="P1275">
            <v>0</v>
          </cell>
          <cell r="S1275" t="str">
            <v xml:space="preserve">32939 </v>
          </cell>
          <cell r="AA1275">
            <v>32939</v>
          </cell>
        </row>
        <row r="1276">
          <cell r="P1276">
            <v>0</v>
          </cell>
          <cell r="S1276" t="str">
            <v xml:space="preserve">32939 </v>
          </cell>
          <cell r="AA1276">
            <v>32939</v>
          </cell>
        </row>
        <row r="1277">
          <cell r="P1277">
            <v>0</v>
          </cell>
          <cell r="S1277" t="str">
            <v xml:space="preserve">32939 </v>
          </cell>
          <cell r="AA1277">
            <v>32939</v>
          </cell>
        </row>
        <row r="1278">
          <cell r="P1278">
            <v>0</v>
          </cell>
          <cell r="S1278" t="str">
            <v xml:space="preserve">32939 </v>
          </cell>
          <cell r="AA1278">
            <v>32939</v>
          </cell>
        </row>
        <row r="1279">
          <cell r="P1279">
            <v>0</v>
          </cell>
          <cell r="S1279" t="str">
            <v xml:space="preserve">32939 </v>
          </cell>
          <cell r="AA1279">
            <v>32939</v>
          </cell>
        </row>
        <row r="1280">
          <cell r="P1280">
            <v>0</v>
          </cell>
          <cell r="S1280" t="str">
            <v xml:space="preserve">32939 </v>
          </cell>
          <cell r="AA1280">
            <v>32939</v>
          </cell>
        </row>
        <row r="1281">
          <cell r="P1281">
            <v>0</v>
          </cell>
          <cell r="S1281" t="str">
            <v xml:space="preserve">32939 </v>
          </cell>
          <cell r="AA1281">
            <v>32939</v>
          </cell>
        </row>
        <row r="1282">
          <cell r="P1282">
            <v>0</v>
          </cell>
          <cell r="S1282" t="str">
            <v xml:space="preserve">32939 </v>
          </cell>
          <cell r="AA1282">
            <v>32939</v>
          </cell>
        </row>
        <row r="1283">
          <cell r="P1283">
            <v>0</v>
          </cell>
          <cell r="S1283" t="str">
            <v xml:space="preserve">32939 </v>
          </cell>
          <cell r="AA1283">
            <v>32939</v>
          </cell>
        </row>
        <row r="1284">
          <cell r="P1284">
            <v>0</v>
          </cell>
          <cell r="S1284" t="str">
            <v xml:space="preserve">32939 </v>
          </cell>
          <cell r="AA1284">
            <v>32939</v>
          </cell>
        </row>
        <row r="1285">
          <cell r="P1285">
            <v>0</v>
          </cell>
          <cell r="S1285" t="str">
            <v xml:space="preserve">32939 </v>
          </cell>
          <cell r="AA1285">
            <v>32939</v>
          </cell>
        </row>
        <row r="1286">
          <cell r="P1286">
            <v>0</v>
          </cell>
          <cell r="S1286" t="str">
            <v xml:space="preserve">32939 </v>
          </cell>
          <cell r="AA1286">
            <v>32939</v>
          </cell>
        </row>
        <row r="1287">
          <cell r="P1287">
            <v>0</v>
          </cell>
          <cell r="S1287" t="str">
            <v xml:space="preserve">32939 </v>
          </cell>
          <cell r="AA1287">
            <v>32939</v>
          </cell>
        </row>
        <row r="1288">
          <cell r="P1288">
            <v>0</v>
          </cell>
          <cell r="S1288" t="str">
            <v xml:space="preserve">32939 </v>
          </cell>
          <cell r="AA1288">
            <v>32939</v>
          </cell>
        </row>
        <row r="1289">
          <cell r="P1289">
            <v>0</v>
          </cell>
          <cell r="S1289" t="str">
            <v xml:space="preserve">32939 </v>
          </cell>
          <cell r="AA1289">
            <v>32939</v>
          </cell>
        </row>
        <row r="1290">
          <cell r="P1290">
            <v>0</v>
          </cell>
          <cell r="S1290" t="str">
            <v xml:space="preserve">32939 </v>
          </cell>
          <cell r="AA1290">
            <v>32939</v>
          </cell>
        </row>
        <row r="1291">
          <cell r="P1291">
            <v>0</v>
          </cell>
          <cell r="S1291" t="str">
            <v xml:space="preserve">32939 </v>
          </cell>
          <cell r="AA1291">
            <v>32939</v>
          </cell>
        </row>
        <row r="1292">
          <cell r="P1292">
            <v>0</v>
          </cell>
          <cell r="S1292" t="str">
            <v xml:space="preserve">32939 </v>
          </cell>
          <cell r="AA1292">
            <v>32939</v>
          </cell>
        </row>
        <row r="1293">
          <cell r="P1293">
            <v>0</v>
          </cell>
          <cell r="S1293" t="str">
            <v xml:space="preserve">32939 </v>
          </cell>
          <cell r="AA1293">
            <v>32939</v>
          </cell>
        </row>
        <row r="1294">
          <cell r="P1294">
            <v>0</v>
          </cell>
          <cell r="S1294" t="str">
            <v xml:space="preserve">32939 </v>
          </cell>
          <cell r="AA1294">
            <v>32939</v>
          </cell>
        </row>
        <row r="1295">
          <cell r="P1295">
            <v>0</v>
          </cell>
          <cell r="S1295" t="str">
            <v xml:space="preserve">32939 </v>
          </cell>
          <cell r="AA1295">
            <v>32939</v>
          </cell>
        </row>
        <row r="1296">
          <cell r="P1296">
            <v>0</v>
          </cell>
          <cell r="S1296" t="str">
            <v xml:space="preserve">32939 </v>
          </cell>
          <cell r="AA1296">
            <v>32939</v>
          </cell>
        </row>
        <row r="1297">
          <cell r="P1297">
            <v>0</v>
          </cell>
          <cell r="S1297" t="str">
            <v xml:space="preserve">32939 </v>
          </cell>
          <cell r="AA1297">
            <v>32939</v>
          </cell>
        </row>
        <row r="1298">
          <cell r="P1298">
            <v>0</v>
          </cell>
          <cell r="S1298" t="str">
            <v xml:space="preserve">32939 </v>
          </cell>
          <cell r="AA1298">
            <v>32939</v>
          </cell>
        </row>
        <row r="1299">
          <cell r="P1299">
            <v>0</v>
          </cell>
          <cell r="S1299" t="str">
            <v xml:space="preserve">32939 </v>
          </cell>
          <cell r="AA1299">
            <v>32939</v>
          </cell>
        </row>
        <row r="1300">
          <cell r="P1300">
            <v>0</v>
          </cell>
          <cell r="S1300" t="str">
            <v xml:space="preserve">32939 </v>
          </cell>
          <cell r="AA1300">
            <v>32939</v>
          </cell>
        </row>
        <row r="1301">
          <cell r="P1301">
            <v>0</v>
          </cell>
          <cell r="S1301" t="str">
            <v xml:space="preserve">32939 </v>
          </cell>
          <cell r="AA1301">
            <v>32939</v>
          </cell>
        </row>
        <row r="1302">
          <cell r="P1302">
            <v>0</v>
          </cell>
          <cell r="S1302" t="str">
            <v xml:space="preserve">32939 </v>
          </cell>
          <cell r="AA1302">
            <v>32939</v>
          </cell>
        </row>
        <row r="1303">
          <cell r="P1303">
            <v>0</v>
          </cell>
          <cell r="S1303" t="str">
            <v xml:space="preserve">32939 </v>
          </cell>
          <cell r="AA1303">
            <v>32939</v>
          </cell>
        </row>
        <row r="1304">
          <cell r="P1304">
            <v>0</v>
          </cell>
          <cell r="S1304" t="str">
            <v xml:space="preserve">32939 </v>
          </cell>
          <cell r="AA1304">
            <v>32939</v>
          </cell>
        </row>
        <row r="1305">
          <cell r="P1305">
            <v>0</v>
          </cell>
          <cell r="S1305" t="str">
            <v xml:space="preserve">32939 </v>
          </cell>
          <cell r="AA1305">
            <v>32939</v>
          </cell>
        </row>
        <row r="1306">
          <cell r="P1306">
            <v>0</v>
          </cell>
          <cell r="S1306" t="str">
            <v xml:space="preserve">32939 </v>
          </cell>
          <cell r="AA1306">
            <v>32939</v>
          </cell>
        </row>
        <row r="1307">
          <cell r="P1307">
            <v>0</v>
          </cell>
          <cell r="S1307" t="str">
            <v xml:space="preserve">32939 </v>
          </cell>
          <cell r="AA1307">
            <v>32939</v>
          </cell>
        </row>
        <row r="1308">
          <cell r="P1308">
            <v>0</v>
          </cell>
          <cell r="S1308" t="str">
            <v xml:space="preserve">32939 </v>
          </cell>
          <cell r="AA1308">
            <v>32939</v>
          </cell>
        </row>
        <row r="1309">
          <cell r="P1309">
            <v>0</v>
          </cell>
          <cell r="S1309" t="str">
            <v xml:space="preserve">32939 </v>
          </cell>
          <cell r="AA1309">
            <v>32939</v>
          </cell>
        </row>
        <row r="1310">
          <cell r="P1310">
            <v>0</v>
          </cell>
          <cell r="S1310" t="str">
            <v xml:space="preserve">32939 </v>
          </cell>
          <cell r="AA1310">
            <v>32939</v>
          </cell>
        </row>
        <row r="1311">
          <cell r="P1311">
            <v>0</v>
          </cell>
          <cell r="S1311" t="str">
            <v xml:space="preserve">32939 </v>
          </cell>
          <cell r="AA1311">
            <v>32939</v>
          </cell>
        </row>
        <row r="1312">
          <cell r="P1312">
            <v>0</v>
          </cell>
          <cell r="S1312" t="str">
            <v xml:space="preserve">32939 </v>
          </cell>
          <cell r="AA1312">
            <v>32939</v>
          </cell>
        </row>
        <row r="1313">
          <cell r="P1313">
            <v>0</v>
          </cell>
          <cell r="S1313" t="str">
            <v xml:space="preserve">32939 </v>
          </cell>
          <cell r="AA1313">
            <v>32939</v>
          </cell>
        </row>
        <row r="1314">
          <cell r="P1314">
            <v>0</v>
          </cell>
          <cell r="S1314" t="str">
            <v xml:space="preserve">32939 </v>
          </cell>
          <cell r="AA1314">
            <v>32939</v>
          </cell>
        </row>
        <row r="1315">
          <cell r="P1315">
            <v>0</v>
          </cell>
          <cell r="S1315" t="str">
            <v xml:space="preserve">32939 </v>
          </cell>
          <cell r="AA1315">
            <v>32939</v>
          </cell>
        </row>
        <row r="1316">
          <cell r="P1316">
            <v>0</v>
          </cell>
          <cell r="S1316" t="str">
            <v xml:space="preserve">32939 </v>
          </cell>
          <cell r="AA1316">
            <v>32939</v>
          </cell>
        </row>
        <row r="1317">
          <cell r="P1317">
            <v>0</v>
          </cell>
          <cell r="S1317" t="str">
            <v xml:space="preserve">32939 </v>
          </cell>
          <cell r="AA1317">
            <v>32939</v>
          </cell>
        </row>
        <row r="1318">
          <cell r="P1318">
            <v>0</v>
          </cell>
          <cell r="S1318" t="str">
            <v xml:space="preserve">32939 </v>
          </cell>
          <cell r="AA1318">
            <v>32939</v>
          </cell>
        </row>
        <row r="1319">
          <cell r="P1319">
            <v>0</v>
          </cell>
          <cell r="S1319" t="str">
            <v xml:space="preserve">32939 </v>
          </cell>
          <cell r="AA1319">
            <v>32939</v>
          </cell>
        </row>
        <row r="1320">
          <cell r="P1320">
            <v>0</v>
          </cell>
          <cell r="S1320" t="str">
            <v xml:space="preserve">32939 </v>
          </cell>
          <cell r="AA1320">
            <v>32939</v>
          </cell>
        </row>
        <row r="1321">
          <cell r="P1321">
            <v>0</v>
          </cell>
          <cell r="S1321" t="str">
            <v xml:space="preserve">32939 </v>
          </cell>
          <cell r="AA1321">
            <v>32939</v>
          </cell>
        </row>
        <row r="1322">
          <cell r="P1322">
            <v>0</v>
          </cell>
          <cell r="S1322" t="str">
            <v xml:space="preserve">32939 </v>
          </cell>
          <cell r="AA1322">
            <v>32939</v>
          </cell>
        </row>
        <row r="1323">
          <cell r="P1323">
            <v>0</v>
          </cell>
          <cell r="S1323" t="str">
            <v xml:space="preserve">32939 </v>
          </cell>
          <cell r="AA1323">
            <v>32939</v>
          </cell>
        </row>
        <row r="1324">
          <cell r="P1324">
            <v>0</v>
          </cell>
          <cell r="S1324" t="str">
            <v xml:space="preserve">32939 </v>
          </cell>
          <cell r="AA1324">
            <v>32939</v>
          </cell>
        </row>
        <row r="1325">
          <cell r="P1325">
            <v>0</v>
          </cell>
          <cell r="S1325" t="str">
            <v xml:space="preserve">32939 </v>
          </cell>
          <cell r="AA1325">
            <v>32939</v>
          </cell>
        </row>
        <row r="1326">
          <cell r="P1326">
            <v>0</v>
          </cell>
          <cell r="S1326" t="str">
            <v xml:space="preserve">32939 </v>
          </cell>
          <cell r="AA1326">
            <v>32939</v>
          </cell>
        </row>
        <row r="1327">
          <cell r="P1327">
            <v>0</v>
          </cell>
          <cell r="S1327" t="str">
            <v xml:space="preserve">32939 </v>
          </cell>
          <cell r="AA1327">
            <v>32939</v>
          </cell>
        </row>
        <row r="1328">
          <cell r="P1328">
            <v>0</v>
          </cell>
          <cell r="S1328" t="str">
            <v xml:space="preserve">32939 </v>
          </cell>
          <cell r="AA1328">
            <v>32939</v>
          </cell>
        </row>
        <row r="1329">
          <cell r="P1329">
            <v>0</v>
          </cell>
          <cell r="S1329" t="str">
            <v xml:space="preserve">32939 </v>
          </cell>
          <cell r="AA1329">
            <v>32939</v>
          </cell>
        </row>
        <row r="1330">
          <cell r="P1330">
            <v>0</v>
          </cell>
          <cell r="S1330" t="str">
            <v xml:space="preserve">32939 </v>
          </cell>
          <cell r="AA1330">
            <v>32939</v>
          </cell>
        </row>
        <row r="1331">
          <cell r="P1331">
            <v>0</v>
          </cell>
          <cell r="S1331" t="str">
            <v xml:space="preserve">32939 </v>
          </cell>
          <cell r="AA1331">
            <v>32939</v>
          </cell>
        </row>
        <row r="1332">
          <cell r="P1332">
            <v>0</v>
          </cell>
          <cell r="S1332" t="str">
            <v xml:space="preserve">32939 </v>
          </cell>
          <cell r="AA1332">
            <v>32939</v>
          </cell>
        </row>
        <row r="1333">
          <cell r="P1333">
            <v>0</v>
          </cell>
          <cell r="S1333" t="str">
            <v xml:space="preserve">32939 </v>
          </cell>
          <cell r="AA1333">
            <v>32939</v>
          </cell>
        </row>
        <row r="1334">
          <cell r="P1334">
            <v>0</v>
          </cell>
          <cell r="S1334" t="str">
            <v xml:space="preserve">32939 </v>
          </cell>
          <cell r="AA1334">
            <v>32939</v>
          </cell>
        </row>
        <row r="1335">
          <cell r="P1335">
            <v>0</v>
          </cell>
          <cell r="S1335" t="str">
            <v xml:space="preserve">32939 </v>
          </cell>
          <cell r="AA1335">
            <v>32939</v>
          </cell>
        </row>
        <row r="1336">
          <cell r="P1336">
            <v>0</v>
          </cell>
          <cell r="S1336" t="str">
            <v xml:space="preserve">32939 </v>
          </cell>
          <cell r="AA1336">
            <v>32939</v>
          </cell>
        </row>
        <row r="1337">
          <cell r="P1337">
            <v>0</v>
          </cell>
          <cell r="S1337" t="str">
            <v xml:space="preserve">32939 </v>
          </cell>
          <cell r="AA1337">
            <v>32939</v>
          </cell>
        </row>
        <row r="1338">
          <cell r="P1338">
            <v>0</v>
          </cell>
          <cell r="S1338" t="str">
            <v xml:space="preserve">32939 </v>
          </cell>
          <cell r="AA1338">
            <v>32939</v>
          </cell>
        </row>
        <row r="1339">
          <cell r="P1339">
            <v>0</v>
          </cell>
          <cell r="S1339" t="str">
            <v xml:space="preserve">32939 </v>
          </cell>
          <cell r="AA1339">
            <v>32939</v>
          </cell>
        </row>
        <row r="1340">
          <cell r="P1340">
            <v>0</v>
          </cell>
          <cell r="S1340" t="str">
            <v xml:space="preserve">32939 </v>
          </cell>
          <cell r="AA1340">
            <v>32939</v>
          </cell>
        </row>
        <row r="1341">
          <cell r="P1341">
            <v>0</v>
          </cell>
          <cell r="S1341" t="str">
            <v xml:space="preserve">32939 </v>
          </cell>
          <cell r="AA1341">
            <v>32939</v>
          </cell>
        </row>
        <row r="1342">
          <cell r="P1342">
            <v>0</v>
          </cell>
          <cell r="S1342" t="str">
            <v xml:space="preserve">32939 </v>
          </cell>
          <cell r="AA1342">
            <v>32939</v>
          </cell>
        </row>
        <row r="1343">
          <cell r="P1343">
            <v>0</v>
          </cell>
          <cell r="S1343" t="str">
            <v xml:space="preserve">32939 </v>
          </cell>
          <cell r="AA1343">
            <v>32939</v>
          </cell>
        </row>
        <row r="1344">
          <cell r="P1344">
            <v>0</v>
          </cell>
          <cell r="S1344" t="str">
            <v xml:space="preserve">32939 </v>
          </cell>
          <cell r="AA1344">
            <v>32939</v>
          </cell>
        </row>
        <row r="1345">
          <cell r="P1345">
            <v>0</v>
          </cell>
          <cell r="S1345" t="str">
            <v xml:space="preserve">32939 </v>
          </cell>
          <cell r="AA1345">
            <v>32939</v>
          </cell>
        </row>
        <row r="1346">
          <cell r="P1346">
            <v>0</v>
          </cell>
          <cell r="S1346" t="str">
            <v xml:space="preserve">32939 </v>
          </cell>
          <cell r="AA1346">
            <v>32939</v>
          </cell>
        </row>
        <row r="1347">
          <cell r="P1347">
            <v>0</v>
          </cell>
          <cell r="S1347" t="str">
            <v xml:space="preserve">32939 </v>
          </cell>
          <cell r="AA1347">
            <v>32939</v>
          </cell>
        </row>
        <row r="1348">
          <cell r="P1348">
            <v>0</v>
          </cell>
          <cell r="S1348" t="str">
            <v xml:space="preserve">32939 </v>
          </cell>
          <cell r="AA1348">
            <v>32939</v>
          </cell>
        </row>
        <row r="1349">
          <cell r="P1349">
            <v>0</v>
          </cell>
          <cell r="S1349" t="str">
            <v xml:space="preserve">32939 </v>
          </cell>
          <cell r="AA1349">
            <v>32939</v>
          </cell>
        </row>
        <row r="1350">
          <cell r="P1350">
            <v>0</v>
          </cell>
          <cell r="S1350" t="str">
            <v xml:space="preserve">32939 </v>
          </cell>
          <cell r="AA1350">
            <v>32939</v>
          </cell>
        </row>
        <row r="1351">
          <cell r="P1351">
            <v>0</v>
          </cell>
          <cell r="S1351" t="str">
            <v xml:space="preserve">32939 </v>
          </cell>
          <cell r="AA1351">
            <v>32939</v>
          </cell>
        </row>
        <row r="1352">
          <cell r="P1352">
            <v>0</v>
          </cell>
          <cell r="S1352" t="str">
            <v xml:space="preserve">32939 </v>
          </cell>
          <cell r="AA1352">
            <v>32939</v>
          </cell>
        </row>
        <row r="1353">
          <cell r="P1353">
            <v>0</v>
          </cell>
          <cell r="S1353" t="str">
            <v xml:space="preserve">32939 </v>
          </cell>
          <cell r="AA1353">
            <v>32939</v>
          </cell>
        </row>
        <row r="1354">
          <cell r="P1354">
            <v>0</v>
          </cell>
          <cell r="S1354" t="str">
            <v xml:space="preserve">32939 </v>
          </cell>
          <cell r="AA1354">
            <v>32939</v>
          </cell>
        </row>
        <row r="1355">
          <cell r="P1355">
            <v>0</v>
          </cell>
          <cell r="S1355" t="str">
            <v xml:space="preserve">32939 </v>
          </cell>
          <cell r="AA1355">
            <v>32939</v>
          </cell>
        </row>
        <row r="1356">
          <cell r="P1356">
            <v>0</v>
          </cell>
          <cell r="S1356" t="str">
            <v xml:space="preserve">32939 </v>
          </cell>
          <cell r="AA1356">
            <v>32939</v>
          </cell>
        </row>
        <row r="1357">
          <cell r="P1357">
            <v>0</v>
          </cell>
          <cell r="S1357" t="str">
            <v xml:space="preserve">32939 </v>
          </cell>
          <cell r="AA1357">
            <v>32939</v>
          </cell>
        </row>
        <row r="1358">
          <cell r="P1358">
            <v>0</v>
          </cell>
          <cell r="S1358" t="str">
            <v xml:space="preserve">32939 </v>
          </cell>
          <cell r="AA1358">
            <v>32939</v>
          </cell>
        </row>
        <row r="1359">
          <cell r="P1359">
            <v>0</v>
          </cell>
          <cell r="S1359" t="str">
            <v xml:space="preserve">32939 </v>
          </cell>
          <cell r="AA1359">
            <v>32939</v>
          </cell>
        </row>
        <row r="1360">
          <cell r="P1360">
            <v>0</v>
          </cell>
          <cell r="S1360" t="str">
            <v xml:space="preserve">32939 </v>
          </cell>
          <cell r="AA1360">
            <v>32939</v>
          </cell>
        </row>
        <row r="1361">
          <cell r="P1361">
            <v>0</v>
          </cell>
          <cell r="S1361" t="str">
            <v xml:space="preserve">32939 </v>
          </cell>
          <cell r="AA1361">
            <v>32939</v>
          </cell>
        </row>
        <row r="1362">
          <cell r="P1362">
            <v>0</v>
          </cell>
          <cell r="S1362" t="str">
            <v xml:space="preserve">32939 </v>
          </cell>
          <cell r="AA1362">
            <v>32939</v>
          </cell>
        </row>
        <row r="1363">
          <cell r="P1363">
            <v>0</v>
          </cell>
          <cell r="S1363" t="str">
            <v xml:space="preserve">32939 </v>
          </cell>
          <cell r="AA1363">
            <v>32939</v>
          </cell>
        </row>
        <row r="1364">
          <cell r="P1364">
            <v>0</v>
          </cell>
          <cell r="S1364" t="str">
            <v xml:space="preserve">32939 </v>
          </cell>
          <cell r="AA1364">
            <v>32939</v>
          </cell>
        </row>
        <row r="1365">
          <cell r="P1365">
            <v>0</v>
          </cell>
          <cell r="S1365" t="str">
            <v xml:space="preserve">32939 </v>
          </cell>
          <cell r="AA1365">
            <v>32939</v>
          </cell>
        </row>
        <row r="1366">
          <cell r="P1366">
            <v>0</v>
          </cell>
          <cell r="S1366" t="str">
            <v xml:space="preserve">32939 </v>
          </cell>
          <cell r="AA1366">
            <v>32939</v>
          </cell>
        </row>
        <row r="1367">
          <cell r="P1367">
            <v>0</v>
          </cell>
          <cell r="S1367" t="str">
            <v xml:space="preserve">32939 </v>
          </cell>
          <cell r="AA1367">
            <v>32939</v>
          </cell>
        </row>
        <row r="1368">
          <cell r="P1368">
            <v>0</v>
          </cell>
          <cell r="S1368" t="str">
            <v xml:space="preserve">32939 </v>
          </cell>
          <cell r="AA1368">
            <v>32939</v>
          </cell>
        </row>
        <row r="1369">
          <cell r="P1369">
            <v>0</v>
          </cell>
          <cell r="S1369" t="str">
            <v xml:space="preserve">32939 </v>
          </cell>
          <cell r="AA1369">
            <v>32939</v>
          </cell>
        </row>
        <row r="1370">
          <cell r="P1370">
            <v>0</v>
          </cell>
          <cell r="S1370" t="str">
            <v xml:space="preserve">32939 </v>
          </cell>
          <cell r="AA1370">
            <v>32939</v>
          </cell>
        </row>
        <row r="1371">
          <cell r="P1371">
            <v>0</v>
          </cell>
          <cell r="S1371" t="str">
            <v xml:space="preserve">32939 </v>
          </cell>
          <cell r="AA1371">
            <v>32939</v>
          </cell>
        </row>
        <row r="1372">
          <cell r="P1372">
            <v>0</v>
          </cell>
          <cell r="S1372" t="str">
            <v xml:space="preserve">32939 </v>
          </cell>
          <cell r="AA1372">
            <v>32939</v>
          </cell>
        </row>
        <row r="1373">
          <cell r="P1373">
            <v>0</v>
          </cell>
          <cell r="S1373" t="str">
            <v xml:space="preserve">32939 </v>
          </cell>
          <cell r="AA1373">
            <v>32939</v>
          </cell>
        </row>
        <row r="1374">
          <cell r="P1374">
            <v>0</v>
          </cell>
          <cell r="S1374" t="str">
            <v xml:space="preserve">32939 </v>
          </cell>
          <cell r="AA1374">
            <v>32939</v>
          </cell>
        </row>
        <row r="1375">
          <cell r="P1375">
            <v>0</v>
          </cell>
          <cell r="S1375" t="str">
            <v xml:space="preserve">32939 </v>
          </cell>
          <cell r="AA1375">
            <v>32939</v>
          </cell>
        </row>
        <row r="1376">
          <cell r="P1376">
            <v>0</v>
          </cell>
          <cell r="S1376" t="str">
            <v xml:space="preserve">32939 </v>
          </cell>
          <cell r="AA1376">
            <v>32939</v>
          </cell>
        </row>
        <row r="1377">
          <cell r="P1377">
            <v>0</v>
          </cell>
          <cell r="S1377" t="str">
            <v xml:space="preserve">32939 </v>
          </cell>
          <cell r="AA1377">
            <v>32939</v>
          </cell>
        </row>
        <row r="1378">
          <cell r="P1378">
            <v>0</v>
          </cell>
          <cell r="S1378" t="str">
            <v xml:space="preserve">32939 </v>
          </cell>
          <cell r="AA1378">
            <v>32939</v>
          </cell>
        </row>
        <row r="1379">
          <cell r="P1379">
            <v>0</v>
          </cell>
          <cell r="S1379" t="str">
            <v xml:space="preserve">32939 </v>
          </cell>
          <cell r="AA1379">
            <v>32939</v>
          </cell>
        </row>
        <row r="1380">
          <cell r="P1380">
            <v>0</v>
          </cell>
          <cell r="S1380" t="str">
            <v xml:space="preserve">32939 </v>
          </cell>
          <cell r="AA1380">
            <v>32939</v>
          </cell>
        </row>
        <row r="1381">
          <cell r="P1381">
            <v>0</v>
          </cell>
          <cell r="S1381" t="str">
            <v xml:space="preserve">32939 </v>
          </cell>
          <cell r="AA1381">
            <v>32939</v>
          </cell>
        </row>
        <row r="1382">
          <cell r="P1382">
            <v>0</v>
          </cell>
          <cell r="S1382" t="str">
            <v xml:space="preserve">32939 </v>
          </cell>
          <cell r="AA1382">
            <v>32939</v>
          </cell>
        </row>
        <row r="1383">
          <cell r="P1383">
            <v>0</v>
          </cell>
          <cell r="S1383" t="str">
            <v xml:space="preserve">32939 </v>
          </cell>
          <cell r="AA1383">
            <v>32939</v>
          </cell>
        </row>
        <row r="1384">
          <cell r="P1384">
            <v>0</v>
          </cell>
          <cell r="S1384" t="str">
            <v xml:space="preserve">32939 </v>
          </cell>
          <cell r="AA1384">
            <v>32939</v>
          </cell>
        </row>
        <row r="1385">
          <cell r="P1385">
            <v>0</v>
          </cell>
          <cell r="S1385" t="str">
            <v xml:space="preserve">32939 </v>
          </cell>
          <cell r="AA1385">
            <v>32939</v>
          </cell>
        </row>
        <row r="1386">
          <cell r="P1386">
            <v>0</v>
          </cell>
          <cell r="S1386" t="str">
            <v xml:space="preserve">32939 </v>
          </cell>
          <cell r="AA1386">
            <v>32939</v>
          </cell>
        </row>
        <row r="1387">
          <cell r="P1387">
            <v>0</v>
          </cell>
          <cell r="S1387" t="str">
            <v xml:space="preserve">32939 </v>
          </cell>
          <cell r="AA1387">
            <v>32939</v>
          </cell>
        </row>
        <row r="1388">
          <cell r="P1388">
            <v>0</v>
          </cell>
          <cell r="S1388" t="str">
            <v xml:space="preserve">32939 </v>
          </cell>
          <cell r="AA1388">
            <v>32939</v>
          </cell>
        </row>
        <row r="1389">
          <cell r="P1389">
            <v>0</v>
          </cell>
          <cell r="S1389" t="str">
            <v xml:space="preserve">32939 </v>
          </cell>
          <cell r="AA1389">
            <v>32939</v>
          </cell>
        </row>
        <row r="1390">
          <cell r="P1390">
            <v>0</v>
          </cell>
          <cell r="S1390" t="str">
            <v xml:space="preserve">32939 </v>
          </cell>
          <cell r="AA1390">
            <v>32939</v>
          </cell>
        </row>
        <row r="1391">
          <cell r="P1391">
            <v>0</v>
          </cell>
          <cell r="S1391" t="str">
            <v xml:space="preserve">32939 </v>
          </cell>
          <cell r="AA1391">
            <v>32939</v>
          </cell>
        </row>
        <row r="1392">
          <cell r="P1392">
            <v>0</v>
          </cell>
          <cell r="S1392" t="str">
            <v xml:space="preserve">32939 </v>
          </cell>
          <cell r="AA1392">
            <v>32939</v>
          </cell>
        </row>
        <row r="1393">
          <cell r="P1393">
            <v>0</v>
          </cell>
          <cell r="S1393" t="str">
            <v xml:space="preserve">32939 </v>
          </cell>
          <cell r="AA1393">
            <v>32939</v>
          </cell>
        </row>
        <row r="1394">
          <cell r="P1394">
            <v>0</v>
          </cell>
          <cell r="S1394" t="str">
            <v xml:space="preserve">32939 </v>
          </cell>
          <cell r="AA1394">
            <v>32939</v>
          </cell>
        </row>
        <row r="1395">
          <cell r="P1395">
            <v>0</v>
          </cell>
          <cell r="S1395" t="str">
            <v xml:space="preserve">32939 </v>
          </cell>
          <cell r="AA1395">
            <v>32939</v>
          </cell>
        </row>
        <row r="1396">
          <cell r="P1396">
            <v>0</v>
          </cell>
          <cell r="S1396" t="str">
            <v xml:space="preserve">32939 </v>
          </cell>
          <cell r="AA1396">
            <v>32939</v>
          </cell>
        </row>
        <row r="1397">
          <cell r="P1397">
            <v>0</v>
          </cell>
          <cell r="S1397" t="str">
            <v xml:space="preserve">32939 </v>
          </cell>
          <cell r="AA1397">
            <v>32939</v>
          </cell>
        </row>
        <row r="1398">
          <cell r="P1398">
            <v>0</v>
          </cell>
          <cell r="S1398" t="str">
            <v xml:space="preserve">32939 </v>
          </cell>
          <cell r="AA1398">
            <v>32939</v>
          </cell>
        </row>
        <row r="1399">
          <cell r="P1399">
            <v>0</v>
          </cell>
          <cell r="S1399" t="str">
            <v xml:space="preserve">32939 </v>
          </cell>
          <cell r="AA1399">
            <v>32939</v>
          </cell>
        </row>
        <row r="1400">
          <cell r="P1400">
            <v>0</v>
          </cell>
          <cell r="S1400" t="str">
            <v xml:space="preserve">32939 </v>
          </cell>
          <cell r="AA1400">
            <v>32939</v>
          </cell>
        </row>
        <row r="1401">
          <cell r="P1401">
            <v>0</v>
          </cell>
          <cell r="S1401" t="str">
            <v xml:space="preserve">32939 </v>
          </cell>
          <cell r="AA1401">
            <v>32939</v>
          </cell>
        </row>
        <row r="1402">
          <cell r="P1402">
            <v>0</v>
          </cell>
          <cell r="S1402" t="str">
            <v xml:space="preserve">32939 </v>
          </cell>
          <cell r="AA1402">
            <v>32939</v>
          </cell>
        </row>
        <row r="1403">
          <cell r="P1403">
            <v>0</v>
          </cell>
          <cell r="S1403" t="str">
            <v xml:space="preserve">32939 </v>
          </cell>
          <cell r="AA1403">
            <v>32939</v>
          </cell>
        </row>
        <row r="1404">
          <cell r="P1404">
            <v>0</v>
          </cell>
          <cell r="S1404" t="str">
            <v xml:space="preserve">32939 </v>
          </cell>
          <cell r="AA1404">
            <v>32939</v>
          </cell>
        </row>
        <row r="1405">
          <cell r="P1405">
            <v>0</v>
          </cell>
          <cell r="S1405" t="str">
            <v xml:space="preserve">32939 </v>
          </cell>
          <cell r="AA1405">
            <v>32939</v>
          </cell>
        </row>
        <row r="1406">
          <cell r="P1406">
            <v>0</v>
          </cell>
          <cell r="S1406" t="str">
            <v xml:space="preserve">32939 </v>
          </cell>
          <cell r="AA1406">
            <v>32939</v>
          </cell>
        </row>
        <row r="1407">
          <cell r="P1407">
            <v>0</v>
          </cell>
          <cell r="S1407" t="str">
            <v xml:space="preserve">32939 </v>
          </cell>
          <cell r="AA1407">
            <v>32939</v>
          </cell>
        </row>
        <row r="1408">
          <cell r="P1408">
            <v>0</v>
          </cell>
          <cell r="S1408" t="str">
            <v xml:space="preserve">32939 </v>
          </cell>
          <cell r="AA1408">
            <v>32939</v>
          </cell>
        </row>
        <row r="1409">
          <cell r="P1409">
            <v>0</v>
          </cell>
          <cell r="S1409" t="str">
            <v xml:space="preserve">32939 </v>
          </cell>
          <cell r="AA1409">
            <v>32939</v>
          </cell>
        </row>
        <row r="1410">
          <cell r="P1410">
            <v>0</v>
          </cell>
          <cell r="S1410" t="str">
            <v xml:space="preserve">32939 </v>
          </cell>
          <cell r="AA1410">
            <v>32939</v>
          </cell>
        </row>
        <row r="1411">
          <cell r="P1411">
            <v>0</v>
          </cell>
          <cell r="S1411" t="str">
            <v xml:space="preserve">32939 </v>
          </cell>
          <cell r="AA1411">
            <v>32939</v>
          </cell>
        </row>
        <row r="1412">
          <cell r="P1412">
            <v>0</v>
          </cell>
          <cell r="S1412" t="str">
            <v xml:space="preserve">32939 </v>
          </cell>
          <cell r="AA1412">
            <v>32939</v>
          </cell>
        </row>
        <row r="1413">
          <cell r="P1413">
            <v>0</v>
          </cell>
          <cell r="S1413" t="str">
            <v xml:space="preserve">32939 </v>
          </cell>
          <cell r="AA1413">
            <v>32939</v>
          </cell>
        </row>
        <row r="1414">
          <cell r="P1414">
            <v>0</v>
          </cell>
          <cell r="S1414" t="str">
            <v xml:space="preserve">32939 </v>
          </cell>
          <cell r="AA1414">
            <v>32939</v>
          </cell>
        </row>
        <row r="1415">
          <cell r="P1415">
            <v>0</v>
          </cell>
          <cell r="S1415" t="str">
            <v xml:space="preserve">32939 </v>
          </cell>
          <cell r="AA1415">
            <v>32939</v>
          </cell>
        </row>
        <row r="1416">
          <cell r="P1416">
            <v>0</v>
          </cell>
          <cell r="S1416" t="str">
            <v xml:space="preserve">32939 </v>
          </cell>
          <cell r="AA1416">
            <v>32939</v>
          </cell>
        </row>
        <row r="1417">
          <cell r="P1417">
            <v>0</v>
          </cell>
          <cell r="S1417" t="str">
            <v xml:space="preserve">32939 </v>
          </cell>
          <cell r="AA1417">
            <v>32939</v>
          </cell>
        </row>
        <row r="1418">
          <cell r="P1418">
            <v>0</v>
          </cell>
          <cell r="S1418" t="str">
            <v xml:space="preserve">32939 </v>
          </cell>
          <cell r="AA1418">
            <v>32939</v>
          </cell>
        </row>
        <row r="1419">
          <cell r="P1419">
            <v>0</v>
          </cell>
          <cell r="S1419" t="str">
            <v xml:space="preserve">32939 </v>
          </cell>
          <cell r="AA1419">
            <v>32939</v>
          </cell>
        </row>
        <row r="1420">
          <cell r="P1420">
            <v>0</v>
          </cell>
          <cell r="S1420" t="str">
            <v xml:space="preserve">32939 </v>
          </cell>
          <cell r="AA1420">
            <v>32939</v>
          </cell>
        </row>
        <row r="1421">
          <cell r="P1421">
            <v>0</v>
          </cell>
          <cell r="S1421" t="str">
            <v xml:space="preserve">32939 </v>
          </cell>
          <cell r="AA1421">
            <v>32939</v>
          </cell>
        </row>
        <row r="1422">
          <cell r="P1422">
            <v>0</v>
          </cell>
          <cell r="S1422" t="str">
            <v xml:space="preserve">32939 </v>
          </cell>
          <cell r="AA1422">
            <v>32939</v>
          </cell>
        </row>
        <row r="1423">
          <cell r="P1423">
            <v>0</v>
          </cell>
          <cell r="S1423" t="str">
            <v xml:space="preserve">32939 </v>
          </cell>
          <cell r="AA1423">
            <v>32939</v>
          </cell>
        </row>
        <row r="1424">
          <cell r="P1424">
            <v>0</v>
          </cell>
          <cell r="S1424" t="str">
            <v xml:space="preserve">32939 </v>
          </cell>
          <cell r="AA1424">
            <v>32939</v>
          </cell>
        </row>
        <row r="1425">
          <cell r="P1425">
            <v>0</v>
          </cell>
          <cell r="S1425" t="str">
            <v xml:space="preserve">32939 </v>
          </cell>
          <cell r="AA1425">
            <v>32939</v>
          </cell>
        </row>
        <row r="1426">
          <cell r="P1426">
            <v>0</v>
          </cell>
          <cell r="S1426" t="str">
            <v xml:space="preserve">32939 </v>
          </cell>
          <cell r="AA1426">
            <v>32939</v>
          </cell>
        </row>
        <row r="1427">
          <cell r="P1427">
            <v>0</v>
          </cell>
          <cell r="S1427" t="str">
            <v xml:space="preserve">32939 </v>
          </cell>
          <cell r="AA1427">
            <v>32939</v>
          </cell>
        </row>
        <row r="1428">
          <cell r="P1428">
            <v>0</v>
          </cell>
          <cell r="S1428" t="str">
            <v xml:space="preserve">32939 </v>
          </cell>
          <cell r="AA1428">
            <v>32939</v>
          </cell>
        </row>
        <row r="1429">
          <cell r="P1429">
            <v>0</v>
          </cell>
          <cell r="S1429" t="str">
            <v xml:space="preserve">32939 </v>
          </cell>
          <cell r="AA1429">
            <v>32939</v>
          </cell>
        </row>
        <row r="1430">
          <cell r="P1430">
            <v>0</v>
          </cell>
          <cell r="S1430" t="str">
            <v xml:space="preserve">32939 </v>
          </cell>
          <cell r="AA1430">
            <v>32939</v>
          </cell>
        </row>
        <row r="1431">
          <cell r="P1431">
            <v>0</v>
          </cell>
          <cell r="S1431" t="str">
            <v xml:space="preserve">32939 </v>
          </cell>
          <cell r="AA1431">
            <v>32939</v>
          </cell>
        </row>
        <row r="1432">
          <cell r="P1432">
            <v>0</v>
          </cell>
          <cell r="S1432" t="str">
            <v xml:space="preserve">32939 </v>
          </cell>
          <cell r="AA1432">
            <v>32939</v>
          </cell>
        </row>
        <row r="1433">
          <cell r="P1433">
            <v>0</v>
          </cell>
          <cell r="S1433" t="str">
            <v xml:space="preserve">32939 </v>
          </cell>
          <cell r="AA1433">
            <v>32939</v>
          </cell>
        </row>
        <row r="1434">
          <cell r="P1434">
            <v>0</v>
          </cell>
          <cell r="S1434" t="str">
            <v xml:space="preserve">32939 </v>
          </cell>
          <cell r="AA1434">
            <v>32939</v>
          </cell>
        </row>
        <row r="1435">
          <cell r="P1435">
            <v>0</v>
          </cell>
          <cell r="S1435" t="str">
            <v xml:space="preserve">32939 </v>
          </cell>
          <cell r="AA1435">
            <v>32939</v>
          </cell>
        </row>
        <row r="1436">
          <cell r="P1436">
            <v>0</v>
          </cell>
          <cell r="S1436" t="str">
            <v xml:space="preserve">32939 </v>
          </cell>
          <cell r="AA1436">
            <v>32939</v>
          </cell>
        </row>
        <row r="1437">
          <cell r="P1437">
            <v>0</v>
          </cell>
          <cell r="S1437" t="str">
            <v xml:space="preserve">32939 </v>
          </cell>
          <cell r="AA1437">
            <v>32939</v>
          </cell>
        </row>
        <row r="1438">
          <cell r="P1438">
            <v>0</v>
          </cell>
          <cell r="S1438" t="str">
            <v xml:space="preserve">32939 </v>
          </cell>
          <cell r="AA1438">
            <v>32939</v>
          </cell>
        </row>
        <row r="1439">
          <cell r="P1439">
            <v>0</v>
          </cell>
          <cell r="S1439" t="str">
            <v xml:space="preserve">32939 </v>
          </cell>
          <cell r="AA1439">
            <v>32939</v>
          </cell>
        </row>
        <row r="1440">
          <cell r="P1440">
            <v>0</v>
          </cell>
          <cell r="S1440" t="str">
            <v xml:space="preserve">32939 </v>
          </cell>
          <cell r="AA1440">
            <v>32939</v>
          </cell>
        </row>
        <row r="1441">
          <cell r="P1441">
            <v>0</v>
          </cell>
          <cell r="S1441" t="str">
            <v xml:space="preserve">32939 </v>
          </cell>
          <cell r="AA1441">
            <v>32939</v>
          </cell>
        </row>
        <row r="1442">
          <cell r="P1442">
            <v>0</v>
          </cell>
          <cell r="S1442" t="str">
            <v xml:space="preserve">32939 </v>
          </cell>
          <cell r="AA1442">
            <v>32939</v>
          </cell>
        </row>
        <row r="1443">
          <cell r="P1443">
            <v>0</v>
          </cell>
          <cell r="S1443" t="str">
            <v xml:space="preserve">32939 </v>
          </cell>
          <cell r="AA1443">
            <v>32939</v>
          </cell>
        </row>
        <row r="1444">
          <cell r="P1444">
            <v>0</v>
          </cell>
          <cell r="S1444" t="str">
            <v xml:space="preserve">32939 </v>
          </cell>
          <cell r="AA1444">
            <v>32939</v>
          </cell>
        </row>
        <row r="1445">
          <cell r="P1445">
            <v>0</v>
          </cell>
          <cell r="S1445" t="str">
            <v xml:space="preserve">32939 </v>
          </cell>
          <cell r="AA1445">
            <v>32939</v>
          </cell>
        </row>
        <row r="1446">
          <cell r="P1446">
            <v>0</v>
          </cell>
          <cell r="S1446" t="str">
            <v xml:space="preserve">32939 </v>
          </cell>
          <cell r="AA1446">
            <v>32939</v>
          </cell>
        </row>
        <row r="1447">
          <cell r="P1447">
            <v>0</v>
          </cell>
          <cell r="S1447" t="str">
            <v xml:space="preserve">32939 </v>
          </cell>
          <cell r="AA1447">
            <v>32939</v>
          </cell>
        </row>
        <row r="1448">
          <cell r="P1448">
            <v>0</v>
          </cell>
          <cell r="S1448" t="str">
            <v xml:space="preserve">32939 </v>
          </cell>
          <cell r="AA1448">
            <v>32939</v>
          </cell>
        </row>
        <row r="1449">
          <cell r="P1449">
            <v>0</v>
          </cell>
          <cell r="S1449" t="str">
            <v xml:space="preserve">32939 </v>
          </cell>
          <cell r="AA1449">
            <v>32939</v>
          </cell>
        </row>
        <row r="1450">
          <cell r="P1450">
            <v>0</v>
          </cell>
          <cell r="S1450" t="str">
            <v xml:space="preserve">32939 </v>
          </cell>
          <cell r="AA1450">
            <v>32939</v>
          </cell>
        </row>
        <row r="1451">
          <cell r="P1451">
            <v>0</v>
          </cell>
          <cell r="S1451" t="str">
            <v xml:space="preserve">32939 </v>
          </cell>
          <cell r="AA1451">
            <v>32939</v>
          </cell>
        </row>
        <row r="1452">
          <cell r="P1452">
            <v>0</v>
          </cell>
          <cell r="S1452" t="str">
            <v xml:space="preserve">32939 </v>
          </cell>
          <cell r="AA1452">
            <v>32939</v>
          </cell>
        </row>
        <row r="1453">
          <cell r="P1453">
            <v>0</v>
          </cell>
          <cell r="S1453" t="str">
            <v xml:space="preserve">32939 </v>
          </cell>
          <cell r="AA1453">
            <v>32939</v>
          </cell>
        </row>
        <row r="1454">
          <cell r="P1454">
            <v>0</v>
          </cell>
          <cell r="S1454" t="str">
            <v xml:space="preserve">32939 </v>
          </cell>
          <cell r="AA1454">
            <v>32939</v>
          </cell>
        </row>
        <row r="1455">
          <cell r="P1455">
            <v>0</v>
          </cell>
          <cell r="S1455" t="str">
            <v xml:space="preserve">32939 </v>
          </cell>
          <cell r="AA1455">
            <v>32939</v>
          </cell>
        </row>
        <row r="1456">
          <cell r="P1456">
            <v>0</v>
          </cell>
          <cell r="S1456" t="str">
            <v xml:space="preserve">32939 </v>
          </cell>
          <cell r="AA1456">
            <v>32939</v>
          </cell>
        </row>
        <row r="1457">
          <cell r="P1457">
            <v>0</v>
          </cell>
          <cell r="S1457" t="str">
            <v xml:space="preserve">32939 </v>
          </cell>
          <cell r="AA1457">
            <v>32939</v>
          </cell>
        </row>
        <row r="1458">
          <cell r="P1458">
            <v>0</v>
          </cell>
          <cell r="S1458" t="str">
            <v xml:space="preserve">32939 </v>
          </cell>
          <cell r="AA1458">
            <v>32939</v>
          </cell>
        </row>
        <row r="1459">
          <cell r="P1459">
            <v>0</v>
          </cell>
          <cell r="S1459" t="str">
            <v xml:space="preserve">32939 </v>
          </cell>
          <cell r="AA1459">
            <v>32939</v>
          </cell>
        </row>
        <row r="1460">
          <cell r="P1460">
            <v>0</v>
          </cell>
          <cell r="S1460" t="str">
            <v xml:space="preserve">32939 </v>
          </cell>
          <cell r="AA1460">
            <v>32939</v>
          </cell>
        </row>
        <row r="1461">
          <cell r="P1461">
            <v>0</v>
          </cell>
          <cell r="S1461" t="str">
            <v xml:space="preserve">32939 </v>
          </cell>
          <cell r="AA1461">
            <v>32939</v>
          </cell>
        </row>
        <row r="1462">
          <cell r="P1462">
            <v>0</v>
          </cell>
          <cell r="S1462" t="str">
            <v xml:space="preserve">32939 </v>
          </cell>
          <cell r="AA1462">
            <v>32939</v>
          </cell>
        </row>
        <row r="1463">
          <cell r="P1463">
            <v>0</v>
          </cell>
          <cell r="S1463" t="str">
            <v xml:space="preserve">32939 </v>
          </cell>
          <cell r="AA1463">
            <v>32939</v>
          </cell>
        </row>
        <row r="1464">
          <cell r="P1464">
            <v>0</v>
          </cell>
          <cell r="S1464" t="str">
            <v xml:space="preserve">32939 </v>
          </cell>
          <cell r="AA1464">
            <v>32939</v>
          </cell>
        </row>
        <row r="1465">
          <cell r="P1465">
            <v>0</v>
          </cell>
          <cell r="S1465" t="str">
            <v xml:space="preserve">32939 </v>
          </cell>
          <cell r="AA1465">
            <v>32939</v>
          </cell>
        </row>
        <row r="1466">
          <cell r="P1466">
            <v>0</v>
          </cell>
          <cell r="S1466" t="str">
            <v xml:space="preserve">32939 </v>
          </cell>
          <cell r="AA1466">
            <v>32939</v>
          </cell>
        </row>
        <row r="1467">
          <cell r="P1467">
            <v>0</v>
          </cell>
          <cell r="S1467" t="str">
            <v xml:space="preserve">32939 </v>
          </cell>
          <cell r="AA1467">
            <v>32939</v>
          </cell>
        </row>
        <row r="1468">
          <cell r="P1468">
            <v>0</v>
          </cell>
          <cell r="S1468" t="str">
            <v xml:space="preserve">32939 </v>
          </cell>
          <cell r="AA1468">
            <v>32939</v>
          </cell>
        </row>
        <row r="1469">
          <cell r="P1469">
            <v>0</v>
          </cell>
          <cell r="S1469" t="str">
            <v xml:space="preserve">32939 </v>
          </cell>
          <cell r="AA1469">
            <v>32939</v>
          </cell>
        </row>
        <row r="1470">
          <cell r="P1470">
            <v>0</v>
          </cell>
          <cell r="S1470" t="str">
            <v xml:space="preserve">32939 </v>
          </cell>
          <cell r="AA1470">
            <v>32939</v>
          </cell>
        </row>
        <row r="1471">
          <cell r="P1471">
            <v>0</v>
          </cell>
          <cell r="S1471" t="str">
            <v xml:space="preserve">32939 </v>
          </cell>
          <cell r="AA1471">
            <v>32939</v>
          </cell>
        </row>
        <row r="1472">
          <cell r="P1472">
            <v>0</v>
          </cell>
          <cell r="S1472" t="str">
            <v xml:space="preserve">32939 </v>
          </cell>
          <cell r="AA1472">
            <v>32939</v>
          </cell>
        </row>
        <row r="1473">
          <cell r="P1473">
            <v>0</v>
          </cell>
          <cell r="S1473" t="str">
            <v xml:space="preserve">32939 </v>
          </cell>
          <cell r="AA1473">
            <v>32939</v>
          </cell>
        </row>
        <row r="1474">
          <cell r="P1474">
            <v>0</v>
          </cell>
          <cell r="S1474" t="str">
            <v xml:space="preserve">32939 </v>
          </cell>
          <cell r="AA1474">
            <v>32939</v>
          </cell>
        </row>
        <row r="1475">
          <cell r="P1475">
            <v>0</v>
          </cell>
          <cell r="S1475" t="str">
            <v xml:space="preserve">32939 </v>
          </cell>
          <cell r="AA1475">
            <v>32939</v>
          </cell>
        </row>
        <row r="1476">
          <cell r="P1476">
            <v>0</v>
          </cell>
          <cell r="S1476" t="str">
            <v xml:space="preserve">32939 </v>
          </cell>
          <cell r="AA1476">
            <v>32939</v>
          </cell>
        </row>
        <row r="1477">
          <cell r="P1477">
            <v>0</v>
          </cell>
          <cell r="S1477" t="str">
            <v xml:space="preserve">32939 </v>
          </cell>
          <cell r="AA1477">
            <v>32939</v>
          </cell>
        </row>
        <row r="1478">
          <cell r="P1478">
            <v>0</v>
          </cell>
          <cell r="S1478" t="str">
            <v xml:space="preserve">32939 </v>
          </cell>
          <cell r="AA1478">
            <v>32939</v>
          </cell>
        </row>
        <row r="1479">
          <cell r="P1479">
            <v>0</v>
          </cell>
          <cell r="S1479" t="str">
            <v xml:space="preserve">32939 </v>
          </cell>
          <cell r="AA1479">
            <v>32939</v>
          </cell>
        </row>
        <row r="1480">
          <cell r="P1480">
            <v>0</v>
          </cell>
          <cell r="S1480" t="str">
            <v xml:space="preserve">32939 </v>
          </cell>
          <cell r="AA1480">
            <v>32939</v>
          </cell>
        </row>
        <row r="1481">
          <cell r="P1481">
            <v>0</v>
          </cell>
          <cell r="S1481" t="str">
            <v xml:space="preserve">32939 </v>
          </cell>
          <cell r="AA1481">
            <v>32939</v>
          </cell>
        </row>
        <row r="1482">
          <cell r="P1482">
            <v>0</v>
          </cell>
          <cell r="S1482" t="str">
            <v xml:space="preserve">32939 </v>
          </cell>
          <cell r="AA1482">
            <v>32939</v>
          </cell>
        </row>
        <row r="1483">
          <cell r="P1483">
            <v>0</v>
          </cell>
          <cell r="S1483" t="str">
            <v xml:space="preserve">32939 </v>
          </cell>
          <cell r="AA1483">
            <v>32939</v>
          </cell>
        </row>
        <row r="1484">
          <cell r="P1484">
            <v>0</v>
          </cell>
          <cell r="S1484" t="str">
            <v xml:space="preserve">32939 </v>
          </cell>
          <cell r="AA1484">
            <v>32939</v>
          </cell>
        </row>
        <row r="1485">
          <cell r="P1485">
            <v>0</v>
          </cell>
          <cell r="S1485" t="str">
            <v xml:space="preserve">32939 </v>
          </cell>
          <cell r="AA1485">
            <v>32939</v>
          </cell>
        </row>
        <row r="1486">
          <cell r="P1486">
            <v>0</v>
          </cell>
          <cell r="S1486" t="str">
            <v xml:space="preserve">32939 </v>
          </cell>
          <cell r="AA1486">
            <v>32939</v>
          </cell>
        </row>
        <row r="1487">
          <cell r="P1487">
            <v>0</v>
          </cell>
          <cell r="S1487" t="str">
            <v xml:space="preserve">32939 </v>
          </cell>
          <cell r="AA1487">
            <v>32939</v>
          </cell>
        </row>
        <row r="1488">
          <cell r="P1488">
            <v>0</v>
          </cell>
          <cell r="S1488" t="str">
            <v xml:space="preserve">32939 </v>
          </cell>
          <cell r="AA1488">
            <v>32939</v>
          </cell>
        </row>
        <row r="1489">
          <cell r="P1489">
            <v>0</v>
          </cell>
          <cell r="S1489" t="str">
            <v xml:space="preserve">32939 </v>
          </cell>
          <cell r="AA1489">
            <v>32939</v>
          </cell>
        </row>
        <row r="1490">
          <cell r="P1490">
            <v>0</v>
          </cell>
          <cell r="S1490" t="str">
            <v xml:space="preserve">32939 </v>
          </cell>
          <cell r="AA1490">
            <v>32939</v>
          </cell>
        </row>
        <row r="1491">
          <cell r="P1491">
            <v>0</v>
          </cell>
          <cell r="S1491" t="str">
            <v xml:space="preserve">32939 </v>
          </cell>
          <cell r="AA1491">
            <v>32939</v>
          </cell>
        </row>
        <row r="1492">
          <cell r="P1492">
            <v>0</v>
          </cell>
          <cell r="S1492" t="str">
            <v xml:space="preserve">32939 </v>
          </cell>
          <cell r="AA1492">
            <v>32939</v>
          </cell>
        </row>
        <row r="1493">
          <cell r="P1493">
            <v>0</v>
          </cell>
          <cell r="S1493" t="str">
            <v xml:space="preserve">32939 </v>
          </cell>
          <cell r="AA1493">
            <v>32939</v>
          </cell>
        </row>
        <row r="1494">
          <cell r="P1494">
            <v>0</v>
          </cell>
          <cell r="S1494" t="str">
            <v xml:space="preserve">32939 </v>
          </cell>
          <cell r="AA1494">
            <v>32939</v>
          </cell>
        </row>
        <row r="1495">
          <cell r="P1495">
            <v>0</v>
          </cell>
          <cell r="S1495" t="str">
            <v xml:space="preserve">32939 </v>
          </cell>
          <cell r="AA1495">
            <v>32939</v>
          </cell>
        </row>
        <row r="1496">
          <cell r="P1496">
            <v>0</v>
          </cell>
          <cell r="S1496" t="str">
            <v xml:space="preserve">32939 </v>
          </cell>
          <cell r="AA1496">
            <v>32939</v>
          </cell>
        </row>
        <row r="1497">
          <cell r="P1497">
            <v>0</v>
          </cell>
          <cell r="S1497" t="str">
            <v xml:space="preserve">32939 </v>
          </cell>
          <cell r="AA1497">
            <v>32939</v>
          </cell>
        </row>
        <row r="1498">
          <cell r="P1498">
            <v>0</v>
          </cell>
          <cell r="S1498" t="str">
            <v xml:space="preserve">32939 </v>
          </cell>
          <cell r="AA1498">
            <v>32939</v>
          </cell>
        </row>
        <row r="1499">
          <cell r="P1499">
            <v>0</v>
          </cell>
          <cell r="S1499" t="str">
            <v xml:space="preserve">32939 </v>
          </cell>
          <cell r="AA1499">
            <v>32939</v>
          </cell>
        </row>
        <row r="1500">
          <cell r="P1500">
            <v>0</v>
          </cell>
          <cell r="S1500" t="str">
            <v xml:space="preserve">32939 </v>
          </cell>
          <cell r="AA1500">
            <v>32939</v>
          </cell>
        </row>
        <row r="1501">
          <cell r="P1501">
            <v>0</v>
          </cell>
          <cell r="S1501" t="str">
            <v xml:space="preserve">32939 </v>
          </cell>
          <cell r="AA1501">
            <v>32939</v>
          </cell>
        </row>
        <row r="1502">
          <cell r="P1502">
            <v>0</v>
          </cell>
          <cell r="S1502" t="str">
            <v xml:space="preserve">32939 </v>
          </cell>
          <cell r="AA1502">
            <v>32939</v>
          </cell>
        </row>
        <row r="1503">
          <cell r="P1503">
            <v>0</v>
          </cell>
          <cell r="S1503" t="str">
            <v xml:space="preserve">32939 </v>
          </cell>
          <cell r="AA1503">
            <v>32939</v>
          </cell>
        </row>
        <row r="1504">
          <cell r="P1504">
            <v>0</v>
          </cell>
          <cell r="S1504" t="str">
            <v xml:space="preserve">32939 </v>
          </cell>
          <cell r="AA1504">
            <v>32939</v>
          </cell>
        </row>
        <row r="1505">
          <cell r="P1505">
            <v>0</v>
          </cell>
          <cell r="S1505" t="str">
            <v xml:space="preserve">32939 </v>
          </cell>
          <cell r="AA1505">
            <v>32939</v>
          </cell>
        </row>
        <row r="1506">
          <cell r="P1506">
            <v>0</v>
          </cell>
          <cell r="S1506" t="str">
            <v xml:space="preserve">32939 </v>
          </cell>
          <cell r="AA1506">
            <v>32939</v>
          </cell>
        </row>
        <row r="1507">
          <cell r="P1507">
            <v>0</v>
          </cell>
          <cell r="S1507" t="str">
            <v xml:space="preserve">32939 </v>
          </cell>
          <cell r="AA1507">
            <v>32939</v>
          </cell>
        </row>
        <row r="1508">
          <cell r="P1508">
            <v>0</v>
          </cell>
          <cell r="S1508" t="str">
            <v xml:space="preserve">32939 </v>
          </cell>
          <cell r="AA1508">
            <v>32939</v>
          </cell>
        </row>
        <row r="1509">
          <cell r="P1509">
            <v>0</v>
          </cell>
          <cell r="S1509" t="str">
            <v xml:space="preserve">32939 </v>
          </cell>
          <cell r="AA1509">
            <v>32939</v>
          </cell>
        </row>
        <row r="1510">
          <cell r="P1510">
            <v>0</v>
          </cell>
          <cell r="S1510" t="str">
            <v xml:space="preserve">32939 </v>
          </cell>
          <cell r="AA1510">
            <v>32939</v>
          </cell>
        </row>
        <row r="1511">
          <cell r="P1511">
            <v>0</v>
          </cell>
          <cell r="S1511" t="str">
            <v xml:space="preserve">32939 </v>
          </cell>
          <cell r="AA1511">
            <v>32939</v>
          </cell>
        </row>
        <row r="1512">
          <cell r="P1512">
            <v>0</v>
          </cell>
          <cell r="S1512" t="str">
            <v xml:space="preserve">32939 </v>
          </cell>
          <cell r="AA1512">
            <v>32939</v>
          </cell>
        </row>
        <row r="1513">
          <cell r="P1513">
            <v>0</v>
          </cell>
          <cell r="S1513" t="str">
            <v xml:space="preserve">32939 </v>
          </cell>
          <cell r="AA1513">
            <v>32939</v>
          </cell>
        </row>
        <row r="1514">
          <cell r="P1514">
            <v>0</v>
          </cell>
          <cell r="S1514" t="str">
            <v xml:space="preserve">32939 </v>
          </cell>
          <cell r="AA1514">
            <v>32939</v>
          </cell>
        </row>
        <row r="1515">
          <cell r="P1515">
            <v>0</v>
          </cell>
          <cell r="S1515" t="str">
            <v xml:space="preserve">32939 </v>
          </cell>
          <cell r="AA1515">
            <v>32939</v>
          </cell>
        </row>
        <row r="1516">
          <cell r="P1516">
            <v>0</v>
          </cell>
          <cell r="S1516" t="str">
            <v xml:space="preserve">32939 </v>
          </cell>
          <cell r="AA1516">
            <v>32939</v>
          </cell>
        </row>
        <row r="1517">
          <cell r="P1517">
            <v>0</v>
          </cell>
          <cell r="S1517" t="str">
            <v xml:space="preserve">32939 </v>
          </cell>
          <cell r="AA1517">
            <v>32939</v>
          </cell>
        </row>
        <row r="1518">
          <cell r="P1518">
            <v>0</v>
          </cell>
          <cell r="S1518" t="str">
            <v xml:space="preserve">32939 </v>
          </cell>
          <cell r="AA1518">
            <v>32939</v>
          </cell>
        </row>
        <row r="1519">
          <cell r="P1519">
            <v>0</v>
          </cell>
          <cell r="S1519" t="str">
            <v xml:space="preserve">32939 </v>
          </cell>
          <cell r="AA1519">
            <v>32939</v>
          </cell>
        </row>
        <row r="1520">
          <cell r="P1520">
            <v>0</v>
          </cell>
          <cell r="S1520" t="str">
            <v xml:space="preserve">32939 </v>
          </cell>
          <cell r="AA1520">
            <v>32939</v>
          </cell>
        </row>
        <row r="1521">
          <cell r="P1521">
            <v>0</v>
          </cell>
          <cell r="S1521" t="str">
            <v xml:space="preserve">32939 </v>
          </cell>
          <cell r="AA1521">
            <v>32939</v>
          </cell>
        </row>
        <row r="1522">
          <cell r="P1522">
            <v>0</v>
          </cell>
          <cell r="S1522" t="str">
            <v xml:space="preserve">32939 </v>
          </cell>
          <cell r="AA1522">
            <v>32939</v>
          </cell>
        </row>
        <row r="1523">
          <cell r="P1523">
            <v>0</v>
          </cell>
          <cell r="S1523" t="str">
            <v xml:space="preserve">32939 </v>
          </cell>
          <cell r="AA1523">
            <v>32939</v>
          </cell>
        </row>
        <row r="1524">
          <cell r="P1524">
            <v>0</v>
          </cell>
          <cell r="S1524" t="str">
            <v xml:space="preserve">32939 </v>
          </cell>
          <cell r="AA1524">
            <v>32939</v>
          </cell>
        </row>
        <row r="1525">
          <cell r="P1525">
            <v>0</v>
          </cell>
          <cell r="S1525" t="str">
            <v xml:space="preserve">32939 </v>
          </cell>
          <cell r="AA1525">
            <v>32939</v>
          </cell>
        </row>
        <row r="1526">
          <cell r="P1526">
            <v>0</v>
          </cell>
          <cell r="S1526" t="str">
            <v xml:space="preserve">32939 </v>
          </cell>
          <cell r="AA1526">
            <v>32939</v>
          </cell>
        </row>
        <row r="1527">
          <cell r="P1527">
            <v>0</v>
          </cell>
          <cell r="S1527" t="str">
            <v xml:space="preserve">32939 </v>
          </cell>
          <cell r="AA1527">
            <v>32939</v>
          </cell>
        </row>
        <row r="1528">
          <cell r="P1528">
            <v>0</v>
          </cell>
          <cell r="S1528" t="str">
            <v xml:space="preserve">32939 </v>
          </cell>
          <cell r="AA1528">
            <v>32939</v>
          </cell>
        </row>
        <row r="1529">
          <cell r="P1529">
            <v>0</v>
          </cell>
          <cell r="S1529" t="str">
            <v xml:space="preserve">32939 </v>
          </cell>
          <cell r="AA1529">
            <v>32939</v>
          </cell>
        </row>
        <row r="1530">
          <cell r="P1530">
            <v>0</v>
          </cell>
          <cell r="S1530" t="str">
            <v xml:space="preserve">32939 </v>
          </cell>
          <cell r="AA1530">
            <v>32939</v>
          </cell>
        </row>
        <row r="1531">
          <cell r="P1531">
            <v>0</v>
          </cell>
          <cell r="S1531" t="str">
            <v xml:space="preserve">32939 </v>
          </cell>
          <cell r="AA1531">
            <v>32939</v>
          </cell>
        </row>
        <row r="1532">
          <cell r="P1532">
            <v>0</v>
          </cell>
          <cell r="S1532" t="str">
            <v xml:space="preserve">32939 </v>
          </cell>
          <cell r="AA1532">
            <v>32939</v>
          </cell>
        </row>
        <row r="1533">
          <cell r="P1533">
            <v>0</v>
          </cell>
          <cell r="S1533" t="str">
            <v xml:space="preserve">32939 </v>
          </cell>
          <cell r="AA1533">
            <v>32939</v>
          </cell>
        </row>
        <row r="1534">
          <cell r="P1534">
            <v>0</v>
          </cell>
          <cell r="S1534" t="str">
            <v xml:space="preserve">32939 </v>
          </cell>
          <cell r="AA1534">
            <v>32939</v>
          </cell>
        </row>
        <row r="1535">
          <cell r="P1535">
            <v>0</v>
          </cell>
          <cell r="S1535" t="str">
            <v xml:space="preserve">32939 </v>
          </cell>
          <cell r="AA1535">
            <v>32939</v>
          </cell>
        </row>
        <row r="1536">
          <cell r="P1536">
            <v>0</v>
          </cell>
          <cell r="S1536" t="str">
            <v xml:space="preserve">32939 </v>
          </cell>
          <cell r="AA1536">
            <v>32939</v>
          </cell>
        </row>
        <row r="1537">
          <cell r="P1537">
            <v>0</v>
          </cell>
          <cell r="S1537" t="str">
            <v xml:space="preserve">32939 </v>
          </cell>
          <cell r="AA1537">
            <v>32939</v>
          </cell>
        </row>
        <row r="1538">
          <cell r="P1538">
            <v>0</v>
          </cell>
          <cell r="S1538" t="str">
            <v xml:space="preserve">32939 </v>
          </cell>
          <cell r="AA1538">
            <v>32939</v>
          </cell>
        </row>
        <row r="1539">
          <cell r="P1539">
            <v>0</v>
          </cell>
          <cell r="S1539" t="str">
            <v xml:space="preserve">32939 </v>
          </cell>
          <cell r="AA1539">
            <v>32939</v>
          </cell>
        </row>
        <row r="1540">
          <cell r="P1540">
            <v>0</v>
          </cell>
          <cell r="S1540" t="str">
            <v xml:space="preserve">32939 </v>
          </cell>
          <cell r="AA1540">
            <v>32939</v>
          </cell>
        </row>
        <row r="1541">
          <cell r="P1541">
            <v>0</v>
          </cell>
          <cell r="S1541" t="str">
            <v xml:space="preserve">32939 </v>
          </cell>
          <cell r="AA1541">
            <v>32939</v>
          </cell>
        </row>
        <row r="1542">
          <cell r="P1542">
            <v>0</v>
          </cell>
          <cell r="S1542" t="str">
            <v xml:space="preserve">32939 </v>
          </cell>
          <cell r="AA1542">
            <v>32939</v>
          </cell>
        </row>
        <row r="1543">
          <cell r="P1543">
            <v>0</v>
          </cell>
          <cell r="S1543" t="str">
            <v xml:space="preserve">32939 </v>
          </cell>
          <cell r="AA1543">
            <v>32939</v>
          </cell>
        </row>
        <row r="1544">
          <cell r="P1544">
            <v>0</v>
          </cell>
          <cell r="S1544" t="str">
            <v xml:space="preserve">32939 </v>
          </cell>
          <cell r="AA1544">
            <v>32939</v>
          </cell>
        </row>
        <row r="1545">
          <cell r="P1545">
            <v>0</v>
          </cell>
          <cell r="S1545" t="str">
            <v xml:space="preserve">32939 </v>
          </cell>
          <cell r="AA1545">
            <v>32939</v>
          </cell>
        </row>
        <row r="1546">
          <cell r="P1546">
            <v>0</v>
          </cell>
          <cell r="S1546" t="str">
            <v xml:space="preserve">32939 </v>
          </cell>
          <cell r="AA1546">
            <v>32939</v>
          </cell>
        </row>
        <row r="1547">
          <cell r="P1547">
            <v>0</v>
          </cell>
          <cell r="S1547" t="str">
            <v xml:space="preserve">32939 </v>
          </cell>
          <cell r="AA1547">
            <v>32939</v>
          </cell>
        </row>
        <row r="1548">
          <cell r="P1548">
            <v>0</v>
          </cell>
          <cell r="S1548" t="str">
            <v xml:space="preserve">32939 </v>
          </cell>
          <cell r="AA1548">
            <v>32939</v>
          </cell>
        </row>
        <row r="1549">
          <cell r="P1549">
            <v>0</v>
          </cell>
          <cell r="S1549" t="str">
            <v xml:space="preserve">32939 </v>
          </cell>
          <cell r="AA1549">
            <v>32939</v>
          </cell>
        </row>
        <row r="1550">
          <cell r="P1550">
            <v>0</v>
          </cell>
          <cell r="S1550" t="str">
            <v xml:space="preserve">32939 </v>
          </cell>
          <cell r="AA1550">
            <v>32939</v>
          </cell>
        </row>
        <row r="1551">
          <cell r="P1551">
            <v>0</v>
          </cell>
          <cell r="S1551" t="str">
            <v xml:space="preserve">32939 </v>
          </cell>
          <cell r="AA1551">
            <v>32939</v>
          </cell>
        </row>
        <row r="1552">
          <cell r="P1552">
            <v>0</v>
          </cell>
          <cell r="S1552" t="str">
            <v xml:space="preserve">32939 </v>
          </cell>
          <cell r="AA1552">
            <v>32939</v>
          </cell>
        </row>
        <row r="1553">
          <cell r="P1553">
            <v>0</v>
          </cell>
          <cell r="S1553" t="str">
            <v xml:space="preserve">32939 </v>
          </cell>
          <cell r="AA1553">
            <v>32939</v>
          </cell>
        </row>
        <row r="1554">
          <cell r="P1554">
            <v>0</v>
          </cell>
          <cell r="S1554" t="str">
            <v xml:space="preserve">32939 </v>
          </cell>
          <cell r="AA1554">
            <v>32939</v>
          </cell>
        </row>
        <row r="1555">
          <cell r="P1555">
            <v>0</v>
          </cell>
          <cell r="S1555" t="str">
            <v xml:space="preserve">32939 </v>
          </cell>
          <cell r="AA1555">
            <v>32939</v>
          </cell>
        </row>
        <row r="1556">
          <cell r="P1556">
            <v>0</v>
          </cell>
          <cell r="S1556" t="str">
            <v xml:space="preserve">32939 </v>
          </cell>
          <cell r="AA1556">
            <v>32939</v>
          </cell>
        </row>
        <row r="1557">
          <cell r="P1557">
            <v>0</v>
          </cell>
          <cell r="S1557" t="str">
            <v xml:space="preserve">32939 </v>
          </cell>
          <cell r="AA1557">
            <v>32939</v>
          </cell>
        </row>
        <row r="1558">
          <cell r="P1558">
            <v>0</v>
          </cell>
          <cell r="S1558" t="str">
            <v xml:space="preserve">32939 </v>
          </cell>
          <cell r="AA1558">
            <v>32939</v>
          </cell>
        </row>
        <row r="1559">
          <cell r="P1559">
            <v>0</v>
          </cell>
          <cell r="S1559" t="str">
            <v xml:space="preserve">32939 </v>
          </cell>
          <cell r="AA1559">
            <v>32939</v>
          </cell>
        </row>
        <row r="1560">
          <cell r="P1560">
            <v>0</v>
          </cell>
          <cell r="S1560" t="str">
            <v xml:space="preserve">32939 </v>
          </cell>
          <cell r="AA1560">
            <v>32939</v>
          </cell>
        </row>
        <row r="1561">
          <cell r="P1561">
            <v>0</v>
          </cell>
          <cell r="S1561" t="str">
            <v xml:space="preserve">32939 </v>
          </cell>
          <cell r="AA1561">
            <v>32939</v>
          </cell>
        </row>
        <row r="1562">
          <cell r="P1562">
            <v>0</v>
          </cell>
          <cell r="S1562" t="str">
            <v xml:space="preserve">32939 </v>
          </cell>
          <cell r="AA1562">
            <v>32939</v>
          </cell>
        </row>
        <row r="1563">
          <cell r="P1563">
            <v>0</v>
          </cell>
          <cell r="S1563" t="str">
            <v xml:space="preserve">32939 </v>
          </cell>
          <cell r="AA1563">
            <v>32939</v>
          </cell>
        </row>
        <row r="1564">
          <cell r="P1564">
            <v>0</v>
          </cell>
          <cell r="S1564" t="str">
            <v xml:space="preserve">32939 </v>
          </cell>
          <cell r="AA1564">
            <v>32939</v>
          </cell>
        </row>
        <row r="1565">
          <cell r="P1565">
            <v>0</v>
          </cell>
          <cell r="S1565" t="str">
            <v xml:space="preserve">32939 </v>
          </cell>
          <cell r="AA1565">
            <v>32939</v>
          </cell>
        </row>
        <row r="1566">
          <cell r="P1566">
            <v>0</v>
          </cell>
          <cell r="S1566" t="str">
            <v xml:space="preserve">32939 </v>
          </cell>
          <cell r="AA1566">
            <v>32939</v>
          </cell>
        </row>
        <row r="1567">
          <cell r="P1567">
            <v>0</v>
          </cell>
          <cell r="S1567" t="str">
            <v xml:space="preserve">32939 </v>
          </cell>
          <cell r="AA1567">
            <v>32939</v>
          </cell>
        </row>
        <row r="1568">
          <cell r="P1568">
            <v>0</v>
          </cell>
          <cell r="S1568" t="str">
            <v xml:space="preserve">32939 </v>
          </cell>
          <cell r="AA1568">
            <v>32939</v>
          </cell>
        </row>
        <row r="1569">
          <cell r="P1569">
            <v>0</v>
          </cell>
          <cell r="S1569" t="str">
            <v xml:space="preserve">32939 </v>
          </cell>
          <cell r="AA1569">
            <v>32939</v>
          </cell>
        </row>
        <row r="1570">
          <cell r="P1570">
            <v>0</v>
          </cell>
          <cell r="S1570" t="str">
            <v xml:space="preserve">32939 </v>
          </cell>
          <cell r="AA1570">
            <v>32939</v>
          </cell>
        </row>
        <row r="1571">
          <cell r="P1571">
            <v>0</v>
          </cell>
          <cell r="S1571" t="str">
            <v xml:space="preserve">32939 </v>
          </cell>
          <cell r="AA1571">
            <v>32939</v>
          </cell>
        </row>
        <row r="1572">
          <cell r="P1572">
            <v>0</v>
          </cell>
          <cell r="S1572" t="str">
            <v xml:space="preserve">32939 </v>
          </cell>
          <cell r="AA1572">
            <v>32939</v>
          </cell>
        </row>
        <row r="1573">
          <cell r="P1573">
            <v>0</v>
          </cell>
          <cell r="S1573" t="str">
            <v xml:space="preserve">32939 </v>
          </cell>
          <cell r="AA1573">
            <v>32939</v>
          </cell>
        </row>
        <row r="1574">
          <cell r="P1574">
            <v>0</v>
          </cell>
          <cell r="S1574" t="str">
            <v xml:space="preserve">32939 </v>
          </cell>
          <cell r="AA1574">
            <v>32939</v>
          </cell>
        </row>
        <row r="1575">
          <cell r="P1575">
            <v>0</v>
          </cell>
          <cell r="S1575" t="str">
            <v xml:space="preserve">32939 </v>
          </cell>
          <cell r="AA1575">
            <v>32939</v>
          </cell>
        </row>
        <row r="1576">
          <cell r="P1576">
            <v>0</v>
          </cell>
          <cell r="S1576" t="str">
            <v xml:space="preserve">32939 </v>
          </cell>
          <cell r="AA1576">
            <v>32939</v>
          </cell>
        </row>
        <row r="1577">
          <cell r="P1577">
            <v>0</v>
          </cell>
          <cell r="S1577" t="str">
            <v xml:space="preserve">32939 </v>
          </cell>
          <cell r="AA1577">
            <v>32939</v>
          </cell>
        </row>
        <row r="1578">
          <cell r="P1578">
            <v>0</v>
          </cell>
          <cell r="S1578" t="str">
            <v xml:space="preserve">32939 </v>
          </cell>
          <cell r="AA1578">
            <v>32939</v>
          </cell>
        </row>
        <row r="1579">
          <cell r="P1579">
            <v>0</v>
          </cell>
          <cell r="S1579" t="str">
            <v xml:space="preserve">32939 </v>
          </cell>
          <cell r="AA1579">
            <v>32939</v>
          </cell>
        </row>
        <row r="1580">
          <cell r="P1580">
            <v>0</v>
          </cell>
          <cell r="S1580" t="str">
            <v xml:space="preserve">32939 </v>
          </cell>
          <cell r="AA1580">
            <v>32939</v>
          </cell>
        </row>
        <row r="1581">
          <cell r="P1581">
            <v>0</v>
          </cell>
          <cell r="S1581" t="str">
            <v xml:space="preserve">32939 </v>
          </cell>
          <cell r="AA1581">
            <v>32939</v>
          </cell>
        </row>
        <row r="1582">
          <cell r="P1582">
            <v>0</v>
          </cell>
          <cell r="S1582" t="str">
            <v xml:space="preserve">32939 </v>
          </cell>
          <cell r="AA1582">
            <v>32939</v>
          </cell>
        </row>
        <row r="1583">
          <cell r="P1583">
            <v>0</v>
          </cell>
          <cell r="S1583" t="str">
            <v xml:space="preserve">32939 </v>
          </cell>
          <cell r="AA1583">
            <v>32939</v>
          </cell>
        </row>
        <row r="1584">
          <cell r="P1584">
            <v>0</v>
          </cell>
          <cell r="S1584" t="str">
            <v xml:space="preserve">32939 </v>
          </cell>
          <cell r="AA1584">
            <v>32939</v>
          </cell>
        </row>
        <row r="1585">
          <cell r="P1585">
            <v>0</v>
          </cell>
          <cell r="S1585" t="str">
            <v xml:space="preserve">32939 </v>
          </cell>
          <cell r="AA1585">
            <v>32939</v>
          </cell>
        </row>
        <row r="1586">
          <cell r="P1586">
            <v>0</v>
          </cell>
          <cell r="S1586" t="str">
            <v xml:space="preserve">32939 </v>
          </cell>
          <cell r="AA1586">
            <v>32939</v>
          </cell>
        </row>
        <row r="1587">
          <cell r="P1587">
            <v>0</v>
          </cell>
          <cell r="S1587" t="str">
            <v xml:space="preserve">32939 </v>
          </cell>
          <cell r="AA1587">
            <v>32939</v>
          </cell>
        </row>
        <row r="1588">
          <cell r="P1588">
            <v>0</v>
          </cell>
          <cell r="S1588" t="str">
            <v xml:space="preserve">32939 </v>
          </cell>
          <cell r="AA1588">
            <v>32939</v>
          </cell>
        </row>
        <row r="1589">
          <cell r="P1589">
            <v>0</v>
          </cell>
          <cell r="S1589" t="str">
            <v xml:space="preserve">32939 </v>
          </cell>
          <cell r="AA1589">
            <v>32939</v>
          </cell>
        </row>
        <row r="1590">
          <cell r="P1590">
            <v>0</v>
          </cell>
          <cell r="S1590" t="str">
            <v xml:space="preserve">32939 </v>
          </cell>
          <cell r="AA1590">
            <v>32939</v>
          </cell>
        </row>
        <row r="1591">
          <cell r="P1591">
            <v>0</v>
          </cell>
          <cell r="S1591" t="str">
            <v xml:space="preserve">32939 </v>
          </cell>
          <cell r="AA1591">
            <v>32939</v>
          </cell>
        </row>
        <row r="1592">
          <cell r="P1592">
            <v>0</v>
          </cell>
          <cell r="S1592" t="str">
            <v xml:space="preserve">32939 </v>
          </cell>
          <cell r="AA1592">
            <v>32939</v>
          </cell>
        </row>
        <row r="1593">
          <cell r="P1593">
            <v>0</v>
          </cell>
          <cell r="S1593" t="str">
            <v xml:space="preserve">32939 </v>
          </cell>
          <cell r="AA1593">
            <v>32939</v>
          </cell>
        </row>
        <row r="1594">
          <cell r="P1594">
            <v>0</v>
          </cell>
          <cell r="S1594" t="str">
            <v xml:space="preserve">32939 </v>
          </cell>
          <cell r="AA1594">
            <v>32939</v>
          </cell>
        </row>
        <row r="1595">
          <cell r="P1595">
            <v>0</v>
          </cell>
          <cell r="S1595" t="str">
            <v xml:space="preserve">32939 </v>
          </cell>
          <cell r="AA1595">
            <v>32939</v>
          </cell>
        </row>
        <row r="1596">
          <cell r="P1596">
            <v>0</v>
          </cell>
          <cell r="S1596" t="str">
            <v xml:space="preserve">32939 </v>
          </cell>
          <cell r="AA1596">
            <v>32939</v>
          </cell>
        </row>
        <row r="1597">
          <cell r="P1597">
            <v>0</v>
          </cell>
          <cell r="S1597" t="str">
            <v xml:space="preserve">32939 </v>
          </cell>
          <cell r="AA1597">
            <v>32939</v>
          </cell>
        </row>
        <row r="1598">
          <cell r="P1598">
            <v>0</v>
          </cell>
          <cell r="S1598" t="str">
            <v xml:space="preserve">32939 </v>
          </cell>
          <cell r="AA1598">
            <v>32939</v>
          </cell>
        </row>
        <row r="1599">
          <cell r="P1599">
            <v>0</v>
          </cell>
          <cell r="S1599" t="str">
            <v xml:space="preserve">32939 </v>
          </cell>
          <cell r="AA1599">
            <v>32939</v>
          </cell>
        </row>
        <row r="1600">
          <cell r="P1600">
            <v>0</v>
          </cell>
          <cell r="S1600" t="str">
            <v xml:space="preserve">32939 </v>
          </cell>
          <cell r="AA1600">
            <v>32939</v>
          </cell>
        </row>
        <row r="1601">
          <cell r="P1601">
            <v>0</v>
          </cell>
          <cell r="S1601" t="str">
            <v xml:space="preserve">32939 </v>
          </cell>
          <cell r="AA1601">
            <v>32939</v>
          </cell>
        </row>
        <row r="1602">
          <cell r="P1602">
            <v>0</v>
          </cell>
          <cell r="S1602" t="str">
            <v xml:space="preserve">32939 </v>
          </cell>
          <cell r="AA1602">
            <v>32939</v>
          </cell>
        </row>
        <row r="1603">
          <cell r="P1603">
            <v>0</v>
          </cell>
          <cell r="S1603" t="str">
            <v xml:space="preserve">32939 </v>
          </cell>
          <cell r="AA1603">
            <v>32939</v>
          </cell>
        </row>
        <row r="1604">
          <cell r="P1604">
            <v>0</v>
          </cell>
          <cell r="S1604" t="str">
            <v xml:space="preserve">32939 </v>
          </cell>
          <cell r="AA1604">
            <v>32939</v>
          </cell>
        </row>
        <row r="1605">
          <cell r="P1605">
            <v>0</v>
          </cell>
          <cell r="S1605" t="str">
            <v xml:space="preserve">32939 </v>
          </cell>
          <cell r="AA1605">
            <v>32939</v>
          </cell>
        </row>
        <row r="1606">
          <cell r="P1606">
            <v>0</v>
          </cell>
          <cell r="S1606" t="str">
            <v xml:space="preserve">32939 </v>
          </cell>
          <cell r="AA1606">
            <v>32939</v>
          </cell>
        </row>
        <row r="1607">
          <cell r="P1607">
            <v>0</v>
          </cell>
          <cell r="S1607" t="str">
            <v xml:space="preserve">32939 </v>
          </cell>
          <cell r="AA1607">
            <v>32939</v>
          </cell>
        </row>
        <row r="1608">
          <cell r="P1608">
            <v>0</v>
          </cell>
          <cell r="S1608" t="str">
            <v xml:space="preserve">32939 </v>
          </cell>
          <cell r="AA1608">
            <v>32939</v>
          </cell>
        </row>
        <row r="1609">
          <cell r="P1609">
            <v>0</v>
          </cell>
          <cell r="S1609" t="str">
            <v xml:space="preserve">32939 </v>
          </cell>
          <cell r="AA1609">
            <v>32939</v>
          </cell>
        </row>
        <row r="1610">
          <cell r="P1610">
            <v>0</v>
          </cell>
          <cell r="S1610" t="str">
            <v xml:space="preserve">32939 </v>
          </cell>
          <cell r="AA1610">
            <v>32939</v>
          </cell>
        </row>
        <row r="1611">
          <cell r="P1611">
            <v>0</v>
          </cell>
          <cell r="S1611" t="str">
            <v xml:space="preserve">32939 </v>
          </cell>
          <cell r="AA1611">
            <v>32939</v>
          </cell>
        </row>
        <row r="1612">
          <cell r="P1612">
            <v>0</v>
          </cell>
          <cell r="S1612" t="str">
            <v xml:space="preserve">32939 </v>
          </cell>
          <cell r="AA1612">
            <v>32939</v>
          </cell>
        </row>
        <row r="1613">
          <cell r="P1613">
            <v>0</v>
          </cell>
          <cell r="S1613" t="str">
            <v xml:space="preserve">32939 </v>
          </cell>
          <cell r="AA1613">
            <v>32939</v>
          </cell>
        </row>
        <row r="1614">
          <cell r="P1614">
            <v>0</v>
          </cell>
          <cell r="S1614" t="str">
            <v xml:space="preserve">32939 </v>
          </cell>
          <cell r="AA1614">
            <v>32939</v>
          </cell>
        </row>
        <row r="1615">
          <cell r="P1615">
            <v>0</v>
          </cell>
          <cell r="S1615" t="str">
            <v xml:space="preserve">32939 </v>
          </cell>
          <cell r="AA1615">
            <v>32939</v>
          </cell>
        </row>
        <row r="1616">
          <cell r="P1616">
            <v>0</v>
          </cell>
          <cell r="S1616" t="str">
            <v xml:space="preserve">32939 </v>
          </cell>
          <cell r="AA1616">
            <v>32939</v>
          </cell>
        </row>
        <row r="1617">
          <cell r="P1617">
            <v>0</v>
          </cell>
          <cell r="S1617" t="str">
            <v xml:space="preserve">32939 </v>
          </cell>
          <cell r="AA1617">
            <v>32939</v>
          </cell>
        </row>
        <row r="1618">
          <cell r="P1618">
            <v>0</v>
          </cell>
          <cell r="S1618" t="str">
            <v xml:space="preserve">32939 </v>
          </cell>
          <cell r="AA1618">
            <v>32939</v>
          </cell>
        </row>
        <row r="1619">
          <cell r="P1619">
            <v>0</v>
          </cell>
          <cell r="S1619" t="str">
            <v xml:space="preserve">32939 </v>
          </cell>
          <cell r="AA1619">
            <v>32939</v>
          </cell>
        </row>
        <row r="1620">
          <cell r="P1620">
            <v>0</v>
          </cell>
          <cell r="S1620" t="str">
            <v xml:space="preserve">32939 </v>
          </cell>
          <cell r="AA1620">
            <v>32939</v>
          </cell>
        </row>
        <row r="1621">
          <cell r="P1621">
            <v>0</v>
          </cell>
          <cell r="S1621" t="str">
            <v xml:space="preserve">32939 </v>
          </cell>
          <cell r="AA1621">
            <v>32939</v>
          </cell>
        </row>
        <row r="1622">
          <cell r="P1622">
            <v>0</v>
          </cell>
          <cell r="S1622" t="str">
            <v xml:space="preserve">32939 </v>
          </cell>
          <cell r="AA1622">
            <v>32939</v>
          </cell>
        </row>
        <row r="1623">
          <cell r="P1623">
            <v>0</v>
          </cell>
          <cell r="S1623" t="str">
            <v xml:space="preserve">32939 </v>
          </cell>
          <cell r="AA1623">
            <v>32939</v>
          </cell>
        </row>
        <row r="1624">
          <cell r="P1624">
            <v>0</v>
          </cell>
          <cell r="S1624" t="str">
            <v xml:space="preserve">32939 </v>
          </cell>
          <cell r="AA1624">
            <v>32939</v>
          </cell>
        </row>
        <row r="1625">
          <cell r="P1625">
            <v>0</v>
          </cell>
          <cell r="S1625" t="str">
            <v xml:space="preserve">32939 </v>
          </cell>
          <cell r="AA1625">
            <v>32939</v>
          </cell>
        </row>
        <row r="1626">
          <cell r="P1626">
            <v>0</v>
          </cell>
          <cell r="S1626" t="str">
            <v xml:space="preserve">32939 </v>
          </cell>
          <cell r="AA1626">
            <v>32939</v>
          </cell>
        </row>
        <row r="1627">
          <cell r="P1627">
            <v>0</v>
          </cell>
          <cell r="S1627" t="str">
            <v xml:space="preserve">32939 </v>
          </cell>
          <cell r="AA1627">
            <v>32939</v>
          </cell>
        </row>
        <row r="1628">
          <cell r="P1628">
            <v>0</v>
          </cell>
          <cell r="S1628" t="str">
            <v xml:space="preserve">32939 </v>
          </cell>
          <cell r="AA1628">
            <v>32939</v>
          </cell>
        </row>
        <row r="1629">
          <cell r="P1629">
            <v>0</v>
          </cell>
          <cell r="S1629" t="str">
            <v xml:space="preserve">32939 </v>
          </cell>
          <cell r="AA1629">
            <v>32939</v>
          </cell>
        </row>
        <row r="1630">
          <cell r="P1630">
            <v>0</v>
          </cell>
          <cell r="S1630" t="str">
            <v xml:space="preserve">32939 </v>
          </cell>
          <cell r="AA1630">
            <v>32939</v>
          </cell>
        </row>
        <row r="1631">
          <cell r="P1631">
            <v>0</v>
          </cell>
          <cell r="S1631" t="str">
            <v xml:space="preserve">32939 </v>
          </cell>
          <cell r="AA1631">
            <v>32939</v>
          </cell>
        </row>
        <row r="1632">
          <cell r="P1632">
            <v>0</v>
          </cell>
          <cell r="S1632" t="str">
            <v xml:space="preserve">32939 </v>
          </cell>
          <cell r="AA1632">
            <v>32939</v>
          </cell>
        </row>
        <row r="1633">
          <cell r="P1633">
            <v>0</v>
          </cell>
          <cell r="S1633" t="str">
            <v xml:space="preserve">32939 </v>
          </cell>
          <cell r="AA1633">
            <v>32939</v>
          </cell>
        </row>
        <row r="1634">
          <cell r="P1634">
            <v>0</v>
          </cell>
          <cell r="S1634" t="str">
            <v xml:space="preserve">32939 </v>
          </cell>
          <cell r="AA1634">
            <v>32939</v>
          </cell>
        </row>
        <row r="1635">
          <cell r="P1635">
            <v>0</v>
          </cell>
          <cell r="S1635" t="str">
            <v xml:space="preserve">32939 </v>
          </cell>
          <cell r="AA1635">
            <v>32939</v>
          </cell>
        </row>
        <row r="1636">
          <cell r="P1636">
            <v>0</v>
          </cell>
          <cell r="S1636" t="str">
            <v xml:space="preserve">32939 </v>
          </cell>
          <cell r="AA1636">
            <v>32939</v>
          </cell>
        </row>
        <row r="1637">
          <cell r="P1637">
            <v>0</v>
          </cell>
          <cell r="S1637" t="str">
            <v xml:space="preserve">32939 </v>
          </cell>
          <cell r="AA1637">
            <v>32939</v>
          </cell>
        </row>
        <row r="1638">
          <cell r="P1638">
            <v>0</v>
          </cell>
          <cell r="S1638" t="str">
            <v xml:space="preserve">32939 </v>
          </cell>
          <cell r="AA1638">
            <v>32939</v>
          </cell>
        </row>
        <row r="1639">
          <cell r="P1639">
            <v>0</v>
          </cell>
          <cell r="S1639" t="str">
            <v xml:space="preserve">32939 </v>
          </cell>
          <cell r="AA1639">
            <v>32939</v>
          </cell>
        </row>
        <row r="1640">
          <cell r="P1640">
            <v>0</v>
          </cell>
          <cell r="S1640" t="str">
            <v xml:space="preserve">32939 </v>
          </cell>
          <cell r="AA1640">
            <v>32939</v>
          </cell>
        </row>
        <row r="1641">
          <cell r="P1641">
            <v>0</v>
          </cell>
          <cell r="S1641" t="str">
            <v xml:space="preserve">32939 </v>
          </cell>
          <cell r="AA1641">
            <v>32939</v>
          </cell>
        </row>
        <row r="1642">
          <cell r="P1642">
            <v>0</v>
          </cell>
          <cell r="S1642" t="str">
            <v xml:space="preserve">32939 </v>
          </cell>
          <cell r="AA1642">
            <v>32939</v>
          </cell>
        </row>
        <row r="1643">
          <cell r="P1643">
            <v>0</v>
          </cell>
          <cell r="S1643" t="str">
            <v xml:space="preserve">32939 </v>
          </cell>
          <cell r="AA1643">
            <v>32939</v>
          </cell>
        </row>
        <row r="1644">
          <cell r="P1644">
            <v>0</v>
          </cell>
          <cell r="S1644" t="str">
            <v xml:space="preserve">32939 </v>
          </cell>
          <cell r="AA1644">
            <v>32939</v>
          </cell>
        </row>
        <row r="1645">
          <cell r="P1645">
            <v>0</v>
          </cell>
          <cell r="S1645" t="str">
            <v xml:space="preserve">32939 </v>
          </cell>
          <cell r="AA1645">
            <v>32939</v>
          </cell>
        </row>
        <row r="1646">
          <cell r="P1646">
            <v>0</v>
          </cell>
          <cell r="S1646" t="str">
            <v xml:space="preserve">32939 </v>
          </cell>
          <cell r="AA1646">
            <v>32939</v>
          </cell>
        </row>
        <row r="1647">
          <cell r="P1647">
            <v>0</v>
          </cell>
          <cell r="S1647" t="str">
            <v xml:space="preserve">32939 </v>
          </cell>
          <cell r="AA1647">
            <v>32939</v>
          </cell>
        </row>
        <row r="1648">
          <cell r="P1648">
            <v>0</v>
          </cell>
          <cell r="S1648" t="str">
            <v xml:space="preserve">32939 </v>
          </cell>
          <cell r="AA1648">
            <v>32939</v>
          </cell>
        </row>
        <row r="1649">
          <cell r="P1649">
            <v>0</v>
          </cell>
          <cell r="S1649" t="str">
            <v xml:space="preserve">32939 </v>
          </cell>
          <cell r="AA1649">
            <v>32939</v>
          </cell>
        </row>
        <row r="1650">
          <cell r="P1650">
            <v>0</v>
          </cell>
          <cell r="S1650" t="str">
            <v xml:space="preserve">32939 </v>
          </cell>
          <cell r="AA1650">
            <v>32939</v>
          </cell>
        </row>
        <row r="1651">
          <cell r="P1651">
            <v>0</v>
          </cell>
          <cell r="S1651" t="str">
            <v xml:space="preserve">32939 </v>
          </cell>
          <cell r="AA1651">
            <v>32939</v>
          </cell>
        </row>
        <row r="1652">
          <cell r="P1652">
            <v>0</v>
          </cell>
          <cell r="S1652" t="str">
            <v xml:space="preserve">32939 </v>
          </cell>
          <cell r="AA1652">
            <v>32939</v>
          </cell>
        </row>
        <row r="1653">
          <cell r="P1653">
            <v>0</v>
          </cell>
          <cell r="S1653" t="str">
            <v xml:space="preserve">32939 </v>
          </cell>
          <cell r="AA1653">
            <v>32939</v>
          </cell>
        </row>
        <row r="1654">
          <cell r="P1654">
            <v>0</v>
          </cell>
          <cell r="S1654" t="str">
            <v xml:space="preserve">32939 </v>
          </cell>
          <cell r="AA1654">
            <v>32939</v>
          </cell>
        </row>
        <row r="1655">
          <cell r="P1655">
            <v>0</v>
          </cell>
          <cell r="S1655" t="str">
            <v xml:space="preserve">32939 </v>
          </cell>
          <cell r="AA1655">
            <v>32939</v>
          </cell>
        </row>
        <row r="1656">
          <cell r="P1656">
            <v>0</v>
          </cell>
          <cell r="S1656" t="str">
            <v xml:space="preserve">32939 </v>
          </cell>
          <cell r="AA1656">
            <v>32939</v>
          </cell>
        </row>
        <row r="1657">
          <cell r="P1657">
            <v>0</v>
          </cell>
          <cell r="S1657" t="str">
            <v xml:space="preserve">32939 </v>
          </cell>
          <cell r="AA1657">
            <v>32939</v>
          </cell>
        </row>
        <row r="1658">
          <cell r="P1658">
            <v>0</v>
          </cell>
          <cell r="S1658" t="str">
            <v xml:space="preserve">32939 </v>
          </cell>
          <cell r="AA1658">
            <v>32939</v>
          </cell>
        </row>
        <row r="1659">
          <cell r="P1659">
            <v>0</v>
          </cell>
          <cell r="S1659" t="str">
            <v xml:space="preserve">32939 </v>
          </cell>
          <cell r="AA1659">
            <v>32939</v>
          </cell>
        </row>
        <row r="1660">
          <cell r="P1660">
            <v>0</v>
          </cell>
          <cell r="S1660" t="str">
            <v xml:space="preserve">32939 </v>
          </cell>
          <cell r="AA1660">
            <v>32939</v>
          </cell>
        </row>
        <row r="1661">
          <cell r="P1661">
            <v>0</v>
          </cell>
          <cell r="S1661" t="str">
            <v xml:space="preserve">32939 </v>
          </cell>
          <cell r="AA1661">
            <v>32939</v>
          </cell>
        </row>
        <row r="1662">
          <cell r="P1662">
            <v>0</v>
          </cell>
          <cell r="S1662" t="str">
            <v xml:space="preserve">32939 </v>
          </cell>
          <cell r="AA1662">
            <v>32939</v>
          </cell>
        </row>
        <row r="1663">
          <cell r="P1663">
            <v>0</v>
          </cell>
          <cell r="S1663" t="str">
            <v xml:space="preserve">32939 </v>
          </cell>
          <cell r="AA1663">
            <v>32939</v>
          </cell>
        </row>
        <row r="1664">
          <cell r="P1664">
            <v>0</v>
          </cell>
          <cell r="S1664" t="str">
            <v xml:space="preserve">32939 </v>
          </cell>
          <cell r="AA1664">
            <v>32939</v>
          </cell>
        </row>
        <row r="1665">
          <cell r="P1665">
            <v>0</v>
          </cell>
          <cell r="S1665" t="str">
            <v xml:space="preserve">32939 </v>
          </cell>
          <cell r="AA1665">
            <v>32939</v>
          </cell>
        </row>
        <row r="1666">
          <cell r="P1666">
            <v>0</v>
          </cell>
          <cell r="S1666" t="str">
            <v xml:space="preserve">32939 </v>
          </cell>
          <cell r="AA1666">
            <v>32939</v>
          </cell>
        </row>
        <row r="1667">
          <cell r="P1667">
            <v>0</v>
          </cell>
          <cell r="S1667" t="str">
            <v xml:space="preserve">32939 </v>
          </cell>
          <cell r="AA1667">
            <v>32939</v>
          </cell>
        </row>
        <row r="1668">
          <cell r="P1668">
            <v>0</v>
          </cell>
          <cell r="S1668" t="str">
            <v xml:space="preserve">32939 </v>
          </cell>
          <cell r="AA1668">
            <v>32939</v>
          </cell>
        </row>
        <row r="1669">
          <cell r="P1669">
            <v>0</v>
          </cell>
          <cell r="S1669" t="str">
            <v xml:space="preserve">32939 </v>
          </cell>
          <cell r="AA1669">
            <v>32939</v>
          </cell>
        </row>
        <row r="1670">
          <cell r="P1670">
            <v>0</v>
          </cell>
          <cell r="S1670" t="str">
            <v xml:space="preserve">32939 </v>
          </cell>
          <cell r="AA1670">
            <v>32939</v>
          </cell>
        </row>
        <row r="1671">
          <cell r="P1671">
            <v>0</v>
          </cell>
          <cell r="S1671" t="str">
            <v xml:space="preserve">32939 </v>
          </cell>
          <cell r="AA1671">
            <v>32939</v>
          </cell>
        </row>
        <row r="1672">
          <cell r="P1672">
            <v>0</v>
          </cell>
          <cell r="S1672" t="str">
            <v xml:space="preserve">32939 </v>
          </cell>
          <cell r="AA1672">
            <v>32939</v>
          </cell>
        </row>
        <row r="1673">
          <cell r="P1673">
            <v>0</v>
          </cell>
          <cell r="S1673" t="str">
            <v xml:space="preserve">32939 </v>
          </cell>
          <cell r="AA1673">
            <v>32939</v>
          </cell>
        </row>
        <row r="1674">
          <cell r="P1674">
            <v>0</v>
          </cell>
          <cell r="S1674" t="str">
            <v xml:space="preserve">32939 </v>
          </cell>
          <cell r="AA1674">
            <v>32939</v>
          </cell>
        </row>
        <row r="1675">
          <cell r="P1675">
            <v>0</v>
          </cell>
          <cell r="S1675" t="str">
            <v xml:space="preserve">32939 </v>
          </cell>
          <cell r="AA1675">
            <v>32939</v>
          </cell>
        </row>
        <row r="1676">
          <cell r="P1676">
            <v>0</v>
          </cell>
          <cell r="S1676" t="str">
            <v xml:space="preserve">32939 </v>
          </cell>
          <cell r="AA1676">
            <v>32939</v>
          </cell>
        </row>
        <row r="1677">
          <cell r="P1677">
            <v>0</v>
          </cell>
          <cell r="S1677" t="str">
            <v xml:space="preserve">32939 </v>
          </cell>
          <cell r="AA1677">
            <v>32939</v>
          </cell>
        </row>
        <row r="1678">
          <cell r="P1678">
            <v>0</v>
          </cell>
          <cell r="S1678" t="str">
            <v xml:space="preserve">32939 </v>
          </cell>
          <cell r="AA1678">
            <v>32939</v>
          </cell>
        </row>
        <row r="1679">
          <cell r="P1679">
            <v>0</v>
          </cell>
          <cell r="S1679" t="str">
            <v xml:space="preserve">32939 </v>
          </cell>
          <cell r="AA1679">
            <v>32939</v>
          </cell>
        </row>
        <row r="1680">
          <cell r="P1680">
            <v>0</v>
          </cell>
          <cell r="S1680" t="str">
            <v xml:space="preserve">32939 </v>
          </cell>
          <cell r="AA1680">
            <v>32939</v>
          </cell>
        </row>
        <row r="1681">
          <cell r="P1681">
            <v>0</v>
          </cell>
          <cell r="S1681" t="str">
            <v xml:space="preserve">32939 </v>
          </cell>
          <cell r="AA1681">
            <v>32939</v>
          </cell>
        </row>
        <row r="1682">
          <cell r="P1682">
            <v>0</v>
          </cell>
          <cell r="S1682" t="str">
            <v xml:space="preserve">32939 </v>
          </cell>
          <cell r="AA1682">
            <v>32939</v>
          </cell>
        </row>
        <row r="1683">
          <cell r="P1683">
            <v>0</v>
          </cell>
          <cell r="S1683" t="str">
            <v xml:space="preserve">32939 </v>
          </cell>
          <cell r="AA1683">
            <v>32939</v>
          </cell>
        </row>
        <row r="1684">
          <cell r="P1684">
            <v>0</v>
          </cell>
          <cell r="S1684" t="str">
            <v xml:space="preserve">32939 </v>
          </cell>
          <cell r="AA1684">
            <v>32939</v>
          </cell>
        </row>
        <row r="1685">
          <cell r="P1685">
            <v>0</v>
          </cell>
          <cell r="S1685" t="str">
            <v xml:space="preserve">32939 </v>
          </cell>
          <cell r="AA1685">
            <v>32939</v>
          </cell>
        </row>
        <row r="1686">
          <cell r="P1686">
            <v>0</v>
          </cell>
          <cell r="S1686" t="str">
            <v xml:space="preserve">32939 </v>
          </cell>
          <cell r="AA1686">
            <v>32939</v>
          </cell>
        </row>
        <row r="1687">
          <cell r="P1687">
            <v>0</v>
          </cell>
          <cell r="S1687" t="str">
            <v xml:space="preserve">32939 </v>
          </cell>
          <cell r="AA1687">
            <v>32939</v>
          </cell>
        </row>
        <row r="1688">
          <cell r="P1688">
            <v>0</v>
          </cell>
          <cell r="S1688" t="str">
            <v xml:space="preserve">32939 </v>
          </cell>
          <cell r="AA1688">
            <v>32939</v>
          </cell>
        </row>
        <row r="1689">
          <cell r="P1689">
            <v>0</v>
          </cell>
          <cell r="S1689" t="str">
            <v xml:space="preserve">32939 </v>
          </cell>
          <cell r="AA1689">
            <v>32939</v>
          </cell>
        </row>
        <row r="1690">
          <cell r="P1690">
            <v>0</v>
          </cell>
          <cell r="S1690" t="str">
            <v xml:space="preserve">32939 </v>
          </cell>
          <cell r="AA1690">
            <v>32939</v>
          </cell>
        </row>
        <row r="1691">
          <cell r="P1691">
            <v>0</v>
          </cell>
          <cell r="S1691" t="str">
            <v xml:space="preserve">32939 </v>
          </cell>
          <cell r="AA1691">
            <v>32939</v>
          </cell>
        </row>
        <row r="1692">
          <cell r="P1692">
            <v>0</v>
          </cell>
          <cell r="S1692" t="str">
            <v xml:space="preserve">32939 </v>
          </cell>
          <cell r="AA1692">
            <v>32939</v>
          </cell>
        </row>
        <row r="1693">
          <cell r="P1693">
            <v>0</v>
          </cell>
          <cell r="S1693" t="str">
            <v xml:space="preserve">32939 </v>
          </cell>
          <cell r="AA1693">
            <v>32939</v>
          </cell>
        </row>
        <row r="1694">
          <cell r="P1694">
            <v>0</v>
          </cell>
          <cell r="S1694" t="str">
            <v xml:space="preserve">32939 </v>
          </cell>
          <cell r="AA1694">
            <v>32939</v>
          </cell>
        </row>
        <row r="1695">
          <cell r="P1695">
            <v>0</v>
          </cell>
          <cell r="S1695" t="str">
            <v xml:space="preserve">32939 </v>
          </cell>
          <cell r="AA1695">
            <v>32939</v>
          </cell>
        </row>
        <row r="1696">
          <cell r="P1696">
            <v>0</v>
          </cell>
          <cell r="S1696" t="str">
            <v xml:space="preserve">32939 </v>
          </cell>
          <cell r="AA1696">
            <v>32939</v>
          </cell>
        </row>
        <row r="1697">
          <cell r="P1697">
            <v>0</v>
          </cell>
          <cell r="S1697" t="str">
            <v xml:space="preserve">32939 </v>
          </cell>
          <cell r="AA1697">
            <v>32939</v>
          </cell>
        </row>
        <row r="1698">
          <cell r="P1698">
            <v>0</v>
          </cell>
          <cell r="S1698" t="str">
            <v xml:space="preserve">32939 </v>
          </cell>
          <cell r="AA1698">
            <v>32939</v>
          </cell>
        </row>
        <row r="1699">
          <cell r="P1699">
            <v>0</v>
          </cell>
          <cell r="S1699" t="str">
            <v xml:space="preserve">32939 </v>
          </cell>
          <cell r="AA1699">
            <v>32939</v>
          </cell>
        </row>
        <row r="1700">
          <cell r="P1700">
            <v>0</v>
          </cell>
          <cell r="S1700" t="str">
            <v xml:space="preserve">32939 </v>
          </cell>
          <cell r="AA1700">
            <v>32939</v>
          </cell>
        </row>
        <row r="1701">
          <cell r="P1701">
            <v>0</v>
          </cell>
          <cell r="S1701" t="str">
            <v xml:space="preserve">32939 </v>
          </cell>
          <cell r="AA1701">
            <v>32939</v>
          </cell>
        </row>
        <row r="1702">
          <cell r="P1702">
            <v>0</v>
          </cell>
          <cell r="S1702" t="str">
            <v xml:space="preserve">32939 </v>
          </cell>
          <cell r="AA1702">
            <v>32939</v>
          </cell>
        </row>
        <row r="1703">
          <cell r="P1703">
            <v>0</v>
          </cell>
          <cell r="S1703" t="str">
            <v xml:space="preserve">32939 </v>
          </cell>
          <cell r="AA1703">
            <v>32939</v>
          </cell>
        </row>
        <row r="1704">
          <cell r="P1704">
            <v>0</v>
          </cell>
          <cell r="S1704" t="str">
            <v xml:space="preserve">32939 </v>
          </cell>
          <cell r="AA1704">
            <v>32939</v>
          </cell>
        </row>
        <row r="1705">
          <cell r="P1705">
            <v>0</v>
          </cell>
          <cell r="S1705" t="str">
            <v xml:space="preserve">32939 </v>
          </cell>
          <cell r="AA1705">
            <v>32939</v>
          </cell>
        </row>
        <row r="1706">
          <cell r="P1706">
            <v>0</v>
          </cell>
          <cell r="S1706" t="str">
            <v xml:space="preserve">32939 </v>
          </cell>
          <cell r="AA1706">
            <v>32939</v>
          </cell>
        </row>
        <row r="1707">
          <cell r="P1707">
            <v>0</v>
          </cell>
          <cell r="S1707" t="str">
            <v xml:space="preserve">32939 </v>
          </cell>
          <cell r="AA1707">
            <v>32939</v>
          </cell>
        </row>
        <row r="1708">
          <cell r="P1708">
            <v>0</v>
          </cell>
          <cell r="S1708" t="str">
            <v xml:space="preserve">32939 </v>
          </cell>
          <cell r="AA1708">
            <v>32939</v>
          </cell>
        </row>
        <row r="1709">
          <cell r="P1709">
            <v>0</v>
          </cell>
          <cell r="S1709" t="str">
            <v xml:space="preserve">32939 </v>
          </cell>
          <cell r="AA1709">
            <v>32939</v>
          </cell>
        </row>
        <row r="1710">
          <cell r="P1710">
            <v>0</v>
          </cell>
          <cell r="S1710" t="str">
            <v xml:space="preserve">32939 </v>
          </cell>
          <cell r="AA1710">
            <v>32939</v>
          </cell>
        </row>
        <row r="1711">
          <cell r="P1711">
            <v>0</v>
          </cell>
          <cell r="S1711" t="str">
            <v xml:space="preserve">32939 </v>
          </cell>
          <cell r="AA1711">
            <v>32939</v>
          </cell>
        </row>
        <row r="1712">
          <cell r="P1712">
            <v>0</v>
          </cell>
          <cell r="S1712" t="str">
            <v xml:space="preserve">32939 </v>
          </cell>
          <cell r="AA1712">
            <v>32939</v>
          </cell>
        </row>
        <row r="1713">
          <cell r="P1713">
            <v>0</v>
          </cell>
          <cell r="S1713" t="str">
            <v xml:space="preserve">32939 </v>
          </cell>
          <cell r="AA1713">
            <v>32939</v>
          </cell>
        </row>
        <row r="1714">
          <cell r="P1714">
            <v>0</v>
          </cell>
          <cell r="S1714" t="str">
            <v xml:space="preserve">32939 </v>
          </cell>
          <cell r="AA1714">
            <v>32939</v>
          </cell>
        </row>
        <row r="1715">
          <cell r="P1715">
            <v>0</v>
          </cell>
          <cell r="S1715" t="str">
            <v xml:space="preserve">32939 </v>
          </cell>
          <cell r="AA1715">
            <v>32939</v>
          </cell>
        </row>
        <row r="1716">
          <cell r="P1716">
            <v>0</v>
          </cell>
          <cell r="S1716" t="str">
            <v xml:space="preserve">32939 </v>
          </cell>
          <cell r="AA1716">
            <v>32939</v>
          </cell>
        </row>
        <row r="1717">
          <cell r="P1717">
            <v>0</v>
          </cell>
          <cell r="S1717" t="str">
            <v xml:space="preserve">32939 </v>
          </cell>
          <cell r="AA1717">
            <v>32939</v>
          </cell>
        </row>
        <row r="1718">
          <cell r="P1718">
            <v>0</v>
          </cell>
          <cell r="S1718" t="str">
            <v xml:space="preserve">32939 </v>
          </cell>
          <cell r="AA1718">
            <v>32939</v>
          </cell>
        </row>
        <row r="1719">
          <cell r="P1719">
            <v>0</v>
          </cell>
          <cell r="S1719" t="str">
            <v xml:space="preserve">32939 </v>
          </cell>
          <cell r="AA1719">
            <v>32939</v>
          </cell>
        </row>
        <row r="1720">
          <cell r="P1720">
            <v>0</v>
          </cell>
          <cell r="S1720" t="str">
            <v xml:space="preserve">32939 </v>
          </cell>
          <cell r="AA1720">
            <v>32939</v>
          </cell>
        </row>
        <row r="1721">
          <cell r="P1721">
            <v>0</v>
          </cell>
          <cell r="S1721" t="str">
            <v xml:space="preserve">32939 </v>
          </cell>
          <cell r="AA1721">
            <v>32939</v>
          </cell>
        </row>
        <row r="1722">
          <cell r="P1722">
            <v>0</v>
          </cell>
          <cell r="S1722" t="str">
            <v xml:space="preserve">32939 </v>
          </cell>
          <cell r="AA1722">
            <v>32939</v>
          </cell>
        </row>
        <row r="1723">
          <cell r="P1723">
            <v>0</v>
          </cell>
          <cell r="S1723" t="str">
            <v xml:space="preserve">32939 </v>
          </cell>
          <cell r="AA1723">
            <v>32939</v>
          </cell>
        </row>
        <row r="1724">
          <cell r="P1724">
            <v>0</v>
          </cell>
          <cell r="S1724" t="str">
            <v xml:space="preserve">32939 </v>
          </cell>
          <cell r="AA1724">
            <v>32939</v>
          </cell>
        </row>
        <row r="1725">
          <cell r="P1725">
            <v>0</v>
          </cell>
          <cell r="S1725" t="str">
            <v xml:space="preserve">32939 </v>
          </cell>
          <cell r="AA1725">
            <v>32939</v>
          </cell>
        </row>
        <row r="1726">
          <cell r="P1726">
            <v>0</v>
          </cell>
          <cell r="S1726" t="str">
            <v xml:space="preserve">32939 </v>
          </cell>
          <cell r="AA1726">
            <v>32939</v>
          </cell>
        </row>
        <row r="1727">
          <cell r="P1727">
            <v>0</v>
          </cell>
          <cell r="S1727" t="str">
            <v xml:space="preserve">32939 </v>
          </cell>
          <cell r="AA1727">
            <v>32939</v>
          </cell>
        </row>
        <row r="1728">
          <cell r="P1728">
            <v>0</v>
          </cell>
          <cell r="S1728" t="str">
            <v xml:space="preserve">32939 </v>
          </cell>
          <cell r="AA1728">
            <v>32939</v>
          </cell>
        </row>
        <row r="1729">
          <cell r="P1729">
            <v>0</v>
          </cell>
          <cell r="S1729" t="str">
            <v xml:space="preserve">32939 </v>
          </cell>
          <cell r="AA1729">
            <v>32939</v>
          </cell>
        </row>
        <row r="1730">
          <cell r="P1730">
            <v>0</v>
          </cell>
          <cell r="S1730" t="str">
            <v xml:space="preserve">32939 </v>
          </cell>
          <cell r="AA1730">
            <v>32939</v>
          </cell>
        </row>
        <row r="1731">
          <cell r="P1731">
            <v>0</v>
          </cell>
          <cell r="S1731" t="str">
            <v xml:space="preserve">32939 </v>
          </cell>
          <cell r="AA1731">
            <v>32939</v>
          </cell>
        </row>
        <row r="1732">
          <cell r="P1732">
            <v>0</v>
          </cell>
          <cell r="S1732" t="str">
            <v xml:space="preserve">32939 </v>
          </cell>
          <cell r="AA1732">
            <v>32939</v>
          </cell>
        </row>
        <row r="1733">
          <cell r="P1733">
            <v>0</v>
          </cell>
          <cell r="S1733" t="str">
            <v xml:space="preserve">32939 </v>
          </cell>
          <cell r="AA1733">
            <v>32939</v>
          </cell>
        </row>
        <row r="1734">
          <cell r="P1734">
            <v>0</v>
          </cell>
          <cell r="S1734" t="str">
            <v xml:space="preserve">32939 </v>
          </cell>
          <cell r="AA1734">
            <v>32939</v>
          </cell>
        </row>
        <row r="1735">
          <cell r="P1735">
            <v>0</v>
          </cell>
          <cell r="S1735" t="str">
            <v xml:space="preserve">32939 </v>
          </cell>
          <cell r="AA1735">
            <v>32939</v>
          </cell>
        </row>
        <row r="1736">
          <cell r="P1736">
            <v>0</v>
          </cell>
          <cell r="S1736" t="str">
            <v xml:space="preserve">32939 </v>
          </cell>
          <cell r="AA1736">
            <v>32939</v>
          </cell>
        </row>
        <row r="1737">
          <cell r="P1737">
            <v>0</v>
          </cell>
          <cell r="S1737" t="str">
            <v xml:space="preserve">32939 </v>
          </cell>
          <cell r="AA1737">
            <v>32939</v>
          </cell>
        </row>
        <row r="1738">
          <cell r="P1738">
            <v>0</v>
          </cell>
          <cell r="S1738" t="str">
            <v xml:space="preserve">32939 </v>
          </cell>
          <cell r="AA1738">
            <v>32939</v>
          </cell>
        </row>
        <row r="1739">
          <cell r="P1739">
            <v>0</v>
          </cell>
          <cell r="S1739" t="str">
            <v xml:space="preserve">32939 </v>
          </cell>
          <cell r="AA1739">
            <v>32939</v>
          </cell>
        </row>
        <row r="1740">
          <cell r="P1740">
            <v>0</v>
          </cell>
          <cell r="S1740" t="str">
            <v xml:space="preserve">32939 </v>
          </cell>
          <cell r="AA1740">
            <v>32939</v>
          </cell>
        </row>
        <row r="1741">
          <cell r="P1741">
            <v>0</v>
          </cell>
          <cell r="S1741" t="str">
            <v xml:space="preserve">32939 </v>
          </cell>
          <cell r="AA1741">
            <v>32939</v>
          </cell>
        </row>
        <row r="1742">
          <cell r="P1742">
            <v>0</v>
          </cell>
          <cell r="S1742" t="str">
            <v xml:space="preserve">32939 </v>
          </cell>
          <cell r="AA1742">
            <v>32939</v>
          </cell>
        </row>
        <row r="1743">
          <cell r="P1743">
            <v>0</v>
          </cell>
          <cell r="S1743" t="str">
            <v xml:space="preserve">32939 </v>
          </cell>
          <cell r="AA1743">
            <v>32939</v>
          </cell>
        </row>
        <row r="1744">
          <cell r="P1744">
            <v>0</v>
          </cell>
          <cell r="S1744" t="str">
            <v xml:space="preserve">32939 </v>
          </cell>
          <cell r="AA1744">
            <v>32939</v>
          </cell>
        </row>
        <row r="1745">
          <cell r="P1745">
            <v>0</v>
          </cell>
          <cell r="S1745" t="str">
            <v xml:space="preserve">32939 </v>
          </cell>
          <cell r="AA1745">
            <v>32939</v>
          </cell>
        </row>
        <row r="1746">
          <cell r="P1746">
            <v>0</v>
          </cell>
          <cell r="S1746" t="str">
            <v xml:space="preserve">32939 </v>
          </cell>
          <cell r="AA1746">
            <v>32939</v>
          </cell>
        </row>
        <row r="1747">
          <cell r="P1747">
            <v>0</v>
          </cell>
          <cell r="S1747" t="str">
            <v xml:space="preserve">32939 </v>
          </cell>
          <cell r="AA1747">
            <v>32939</v>
          </cell>
        </row>
        <row r="1748">
          <cell r="P1748">
            <v>0</v>
          </cell>
          <cell r="S1748" t="str">
            <v xml:space="preserve">32939 </v>
          </cell>
          <cell r="AA1748">
            <v>32939</v>
          </cell>
        </row>
        <row r="1749">
          <cell r="P1749">
            <v>0</v>
          </cell>
          <cell r="S1749" t="str">
            <v xml:space="preserve">32939 </v>
          </cell>
          <cell r="AA1749">
            <v>32939</v>
          </cell>
        </row>
        <row r="1750">
          <cell r="P1750">
            <v>0</v>
          </cell>
          <cell r="S1750" t="str">
            <v xml:space="preserve">32939 </v>
          </cell>
          <cell r="AA1750">
            <v>32939</v>
          </cell>
        </row>
        <row r="1751">
          <cell r="P1751">
            <v>0</v>
          </cell>
          <cell r="S1751" t="str">
            <v xml:space="preserve">32939 </v>
          </cell>
          <cell r="AA1751">
            <v>32939</v>
          </cell>
        </row>
        <row r="1752">
          <cell r="P1752">
            <v>0</v>
          </cell>
          <cell r="S1752" t="str">
            <v xml:space="preserve">32939 </v>
          </cell>
          <cell r="AA1752">
            <v>32939</v>
          </cell>
        </row>
        <row r="1753">
          <cell r="P1753">
            <v>0</v>
          </cell>
          <cell r="S1753" t="str">
            <v xml:space="preserve">32939 </v>
          </cell>
          <cell r="AA1753">
            <v>32939</v>
          </cell>
        </row>
        <row r="1754">
          <cell r="P1754">
            <v>0</v>
          </cell>
          <cell r="S1754" t="str">
            <v xml:space="preserve">32939 </v>
          </cell>
          <cell r="AA1754">
            <v>32939</v>
          </cell>
        </row>
        <row r="1755">
          <cell r="P1755">
            <v>0</v>
          </cell>
          <cell r="S1755" t="str">
            <v xml:space="preserve">32939 </v>
          </cell>
          <cell r="AA1755">
            <v>32939</v>
          </cell>
        </row>
        <row r="1756">
          <cell r="P1756">
            <v>0</v>
          </cell>
          <cell r="S1756" t="str">
            <v xml:space="preserve">32939 </v>
          </cell>
          <cell r="AA1756">
            <v>32939</v>
          </cell>
        </row>
        <row r="1757">
          <cell r="P1757">
            <v>0</v>
          </cell>
          <cell r="S1757" t="str">
            <v xml:space="preserve">32939 </v>
          </cell>
          <cell r="AA1757">
            <v>32939</v>
          </cell>
        </row>
        <row r="1758">
          <cell r="P1758">
            <v>0</v>
          </cell>
          <cell r="S1758" t="str">
            <v xml:space="preserve">32939 </v>
          </cell>
          <cell r="AA1758">
            <v>32939</v>
          </cell>
        </row>
        <row r="1759">
          <cell r="P1759">
            <v>0</v>
          </cell>
          <cell r="S1759" t="str">
            <v xml:space="preserve">32939 </v>
          </cell>
          <cell r="AA1759">
            <v>32939</v>
          </cell>
        </row>
        <row r="1760">
          <cell r="P1760">
            <v>0</v>
          </cell>
          <cell r="S1760" t="str">
            <v xml:space="preserve">32939 </v>
          </cell>
          <cell r="AA1760">
            <v>32939</v>
          </cell>
        </row>
        <row r="1761">
          <cell r="P1761">
            <v>0</v>
          </cell>
          <cell r="S1761" t="str">
            <v xml:space="preserve">32939 </v>
          </cell>
          <cell r="AA1761">
            <v>32939</v>
          </cell>
        </row>
        <row r="1762">
          <cell r="P1762">
            <v>0</v>
          </cell>
          <cell r="S1762" t="str">
            <v xml:space="preserve">32939 </v>
          </cell>
          <cell r="AA1762">
            <v>32939</v>
          </cell>
        </row>
        <row r="1763">
          <cell r="P1763">
            <v>0</v>
          </cell>
          <cell r="S1763" t="str">
            <v xml:space="preserve">32939 </v>
          </cell>
          <cell r="AA1763">
            <v>32939</v>
          </cell>
        </row>
        <row r="1764">
          <cell r="P1764">
            <v>0</v>
          </cell>
          <cell r="S1764" t="str">
            <v xml:space="preserve">32939 </v>
          </cell>
          <cell r="AA1764">
            <v>32939</v>
          </cell>
        </row>
        <row r="1765">
          <cell r="P1765">
            <v>0</v>
          </cell>
          <cell r="S1765" t="str">
            <v xml:space="preserve">32939 </v>
          </cell>
          <cell r="AA1765">
            <v>32939</v>
          </cell>
        </row>
        <row r="1766">
          <cell r="P1766">
            <v>0</v>
          </cell>
          <cell r="S1766" t="str">
            <v xml:space="preserve">32939 </v>
          </cell>
          <cell r="AA1766">
            <v>32939</v>
          </cell>
        </row>
        <row r="1767">
          <cell r="P1767">
            <v>0</v>
          </cell>
          <cell r="S1767" t="str">
            <v xml:space="preserve">32939 </v>
          </cell>
          <cell r="AA1767">
            <v>32939</v>
          </cell>
        </row>
        <row r="1768">
          <cell r="P1768">
            <v>0</v>
          </cell>
          <cell r="S1768" t="str">
            <v xml:space="preserve">32939 </v>
          </cell>
          <cell r="AA1768">
            <v>32939</v>
          </cell>
        </row>
        <row r="1769">
          <cell r="P1769">
            <v>0</v>
          </cell>
          <cell r="S1769" t="str">
            <v xml:space="preserve">32939 </v>
          </cell>
          <cell r="AA1769">
            <v>32939</v>
          </cell>
        </row>
        <row r="1770">
          <cell r="P1770">
            <v>0</v>
          </cell>
          <cell r="S1770" t="str">
            <v xml:space="preserve">32939 </v>
          </cell>
          <cell r="AA1770">
            <v>32939</v>
          </cell>
        </row>
        <row r="1771">
          <cell r="P1771">
            <v>0</v>
          </cell>
          <cell r="S1771" t="str">
            <v xml:space="preserve">32939 </v>
          </cell>
          <cell r="AA1771">
            <v>32939</v>
          </cell>
        </row>
        <row r="1772">
          <cell r="P1772">
            <v>0</v>
          </cell>
          <cell r="S1772" t="str">
            <v xml:space="preserve">32939 </v>
          </cell>
          <cell r="AA1772">
            <v>32939</v>
          </cell>
        </row>
        <row r="1773">
          <cell r="P1773">
            <v>0</v>
          </cell>
          <cell r="S1773" t="str">
            <v xml:space="preserve">32939 </v>
          </cell>
          <cell r="AA1773">
            <v>32939</v>
          </cell>
        </row>
        <row r="1774">
          <cell r="P1774">
            <v>0</v>
          </cell>
          <cell r="S1774" t="str">
            <v xml:space="preserve">32939 </v>
          </cell>
          <cell r="AA1774">
            <v>32939</v>
          </cell>
        </row>
        <row r="1775">
          <cell r="P1775">
            <v>0</v>
          </cell>
          <cell r="S1775" t="str">
            <v xml:space="preserve">32939 </v>
          </cell>
          <cell r="AA1775">
            <v>32939</v>
          </cell>
        </row>
        <row r="1776">
          <cell r="P1776">
            <v>0</v>
          </cell>
          <cell r="S1776" t="str">
            <v xml:space="preserve">32939 </v>
          </cell>
          <cell r="AA1776">
            <v>32939</v>
          </cell>
        </row>
        <row r="1777">
          <cell r="P1777">
            <v>0</v>
          </cell>
          <cell r="S1777" t="str">
            <v xml:space="preserve">32939 </v>
          </cell>
          <cell r="AA1777">
            <v>32939</v>
          </cell>
        </row>
        <row r="1778">
          <cell r="P1778">
            <v>0</v>
          </cell>
          <cell r="S1778" t="str">
            <v xml:space="preserve">32939 </v>
          </cell>
          <cell r="AA1778">
            <v>32939</v>
          </cell>
        </row>
        <row r="1779">
          <cell r="P1779">
            <v>0</v>
          </cell>
          <cell r="S1779" t="str">
            <v xml:space="preserve">32939 </v>
          </cell>
          <cell r="AA1779">
            <v>32939</v>
          </cell>
        </row>
        <row r="1780">
          <cell r="P1780">
            <v>0</v>
          </cell>
          <cell r="S1780" t="str">
            <v xml:space="preserve">32939 </v>
          </cell>
          <cell r="AA1780">
            <v>32939</v>
          </cell>
        </row>
        <row r="1781">
          <cell r="P1781">
            <v>0</v>
          </cell>
          <cell r="S1781" t="str">
            <v xml:space="preserve">32939 </v>
          </cell>
          <cell r="AA1781">
            <v>32939</v>
          </cell>
        </row>
        <row r="1782">
          <cell r="P1782">
            <v>0</v>
          </cell>
          <cell r="S1782" t="str">
            <v xml:space="preserve">32939 </v>
          </cell>
          <cell r="AA1782">
            <v>32939</v>
          </cell>
        </row>
        <row r="1783">
          <cell r="P1783">
            <v>0</v>
          </cell>
          <cell r="S1783" t="str">
            <v xml:space="preserve">32939 </v>
          </cell>
          <cell r="AA1783">
            <v>32939</v>
          </cell>
        </row>
        <row r="1784">
          <cell r="P1784">
            <v>0</v>
          </cell>
          <cell r="S1784" t="str">
            <v xml:space="preserve">32939 </v>
          </cell>
          <cell r="AA1784">
            <v>32939</v>
          </cell>
        </row>
        <row r="1785">
          <cell r="P1785">
            <v>0</v>
          </cell>
          <cell r="S1785" t="str">
            <v xml:space="preserve">32939 </v>
          </cell>
          <cell r="AA1785">
            <v>32939</v>
          </cell>
        </row>
        <row r="1786">
          <cell r="P1786">
            <v>0</v>
          </cell>
          <cell r="S1786" t="str">
            <v xml:space="preserve">32939 </v>
          </cell>
          <cell r="AA1786">
            <v>32939</v>
          </cell>
        </row>
        <row r="1787">
          <cell r="P1787">
            <v>0</v>
          </cell>
          <cell r="S1787" t="str">
            <v xml:space="preserve">32939 </v>
          </cell>
          <cell r="AA1787">
            <v>32939</v>
          </cell>
        </row>
        <row r="1788">
          <cell r="P1788">
            <v>0</v>
          </cell>
          <cell r="S1788" t="str">
            <v xml:space="preserve">32939 </v>
          </cell>
          <cell r="AA1788">
            <v>32939</v>
          </cell>
        </row>
        <row r="1789">
          <cell r="P1789">
            <v>0</v>
          </cell>
          <cell r="S1789" t="str">
            <v xml:space="preserve">32939 </v>
          </cell>
          <cell r="AA1789">
            <v>32939</v>
          </cell>
        </row>
        <row r="1790">
          <cell r="P1790">
            <v>0</v>
          </cell>
          <cell r="S1790" t="str">
            <v xml:space="preserve">32939 </v>
          </cell>
          <cell r="AA1790">
            <v>32939</v>
          </cell>
        </row>
        <row r="1791">
          <cell r="P1791">
            <v>0</v>
          </cell>
          <cell r="S1791" t="str">
            <v xml:space="preserve">32939 </v>
          </cell>
          <cell r="AA1791">
            <v>32939</v>
          </cell>
        </row>
        <row r="1792">
          <cell r="P1792">
            <v>0</v>
          </cell>
          <cell r="S1792" t="str">
            <v xml:space="preserve">32939 </v>
          </cell>
          <cell r="AA1792">
            <v>32939</v>
          </cell>
        </row>
        <row r="1793">
          <cell r="P1793">
            <v>0</v>
          </cell>
          <cell r="S1793" t="str">
            <v xml:space="preserve">32939 </v>
          </cell>
          <cell r="AA1793">
            <v>32939</v>
          </cell>
        </row>
        <row r="1794">
          <cell r="P1794">
            <v>0</v>
          </cell>
          <cell r="S1794" t="str">
            <v xml:space="preserve">32939 </v>
          </cell>
          <cell r="AA1794">
            <v>32939</v>
          </cell>
        </row>
        <row r="1795">
          <cell r="P1795">
            <v>0</v>
          </cell>
          <cell r="S1795" t="str">
            <v xml:space="preserve">32939 </v>
          </cell>
          <cell r="AA1795">
            <v>32939</v>
          </cell>
        </row>
        <row r="1796">
          <cell r="P1796">
            <v>0</v>
          </cell>
          <cell r="S1796" t="str">
            <v xml:space="preserve">32939 </v>
          </cell>
          <cell r="AA1796">
            <v>32939</v>
          </cell>
        </row>
        <row r="1797">
          <cell r="P1797">
            <v>0</v>
          </cell>
          <cell r="S1797" t="str">
            <v xml:space="preserve">32939 </v>
          </cell>
          <cell r="AA1797">
            <v>32939</v>
          </cell>
        </row>
        <row r="1798">
          <cell r="P1798">
            <v>0</v>
          </cell>
          <cell r="S1798" t="str">
            <v xml:space="preserve">32939 </v>
          </cell>
          <cell r="AA1798">
            <v>32939</v>
          </cell>
        </row>
        <row r="1799">
          <cell r="P1799">
            <v>0</v>
          </cell>
          <cell r="S1799" t="str">
            <v xml:space="preserve">32939 </v>
          </cell>
          <cell r="AA1799">
            <v>32939</v>
          </cell>
        </row>
        <row r="1800">
          <cell r="P1800">
            <v>0</v>
          </cell>
          <cell r="S1800" t="str">
            <v xml:space="preserve">32939 </v>
          </cell>
          <cell r="AA1800">
            <v>32939</v>
          </cell>
        </row>
        <row r="1801">
          <cell r="P1801">
            <v>0</v>
          </cell>
          <cell r="S1801" t="str">
            <v xml:space="preserve">32939 </v>
          </cell>
          <cell r="AA1801">
            <v>32939</v>
          </cell>
        </row>
        <row r="1802">
          <cell r="P1802">
            <v>0</v>
          </cell>
          <cell r="S1802" t="str">
            <v xml:space="preserve">32939 </v>
          </cell>
          <cell r="AA1802">
            <v>32939</v>
          </cell>
        </row>
        <row r="1803">
          <cell r="P1803">
            <v>0</v>
          </cell>
          <cell r="S1803" t="str">
            <v xml:space="preserve">32939 </v>
          </cell>
          <cell r="AA1803">
            <v>32939</v>
          </cell>
        </row>
        <row r="1804">
          <cell r="P1804">
            <v>0</v>
          </cell>
          <cell r="S1804" t="str">
            <v xml:space="preserve">32939 </v>
          </cell>
          <cell r="AA1804">
            <v>32939</v>
          </cell>
        </row>
        <row r="1805">
          <cell r="P1805">
            <v>0</v>
          </cell>
          <cell r="S1805" t="str">
            <v xml:space="preserve">32939 </v>
          </cell>
          <cell r="AA1805">
            <v>32939</v>
          </cell>
        </row>
        <row r="1806">
          <cell r="P1806">
            <v>0</v>
          </cell>
          <cell r="S1806" t="str">
            <v xml:space="preserve">32939 </v>
          </cell>
          <cell r="AA1806">
            <v>32939</v>
          </cell>
        </row>
        <row r="1807">
          <cell r="P1807">
            <v>0</v>
          </cell>
          <cell r="S1807" t="str">
            <v xml:space="preserve">32939 </v>
          </cell>
          <cell r="AA1807">
            <v>32939</v>
          </cell>
        </row>
        <row r="1808">
          <cell r="P1808">
            <v>0</v>
          </cell>
          <cell r="S1808" t="str">
            <v xml:space="preserve">32939 </v>
          </cell>
          <cell r="AA1808">
            <v>32939</v>
          </cell>
        </row>
        <row r="1809">
          <cell r="P1809">
            <v>0</v>
          </cell>
          <cell r="S1809" t="str">
            <v xml:space="preserve">32939 </v>
          </cell>
          <cell r="AA1809">
            <v>32939</v>
          </cell>
        </row>
        <row r="1810">
          <cell r="P1810">
            <v>0</v>
          </cell>
          <cell r="S1810" t="str">
            <v xml:space="preserve">32939 </v>
          </cell>
          <cell r="AA1810">
            <v>32939</v>
          </cell>
        </row>
        <row r="1811">
          <cell r="P1811">
            <v>0</v>
          </cell>
          <cell r="S1811" t="str">
            <v xml:space="preserve">32939 </v>
          </cell>
          <cell r="AA1811">
            <v>32939</v>
          </cell>
        </row>
        <row r="1812">
          <cell r="P1812">
            <v>0</v>
          </cell>
          <cell r="S1812" t="str">
            <v xml:space="preserve">32939 </v>
          </cell>
          <cell r="AA1812">
            <v>32939</v>
          </cell>
        </row>
        <row r="1813">
          <cell r="P1813">
            <v>0</v>
          </cell>
          <cell r="S1813" t="str">
            <v xml:space="preserve">32939 </v>
          </cell>
          <cell r="AA1813">
            <v>32939</v>
          </cell>
        </row>
        <row r="1814">
          <cell r="P1814">
            <v>0</v>
          </cell>
          <cell r="S1814" t="str">
            <v xml:space="preserve">32939 </v>
          </cell>
          <cell r="AA1814">
            <v>32939</v>
          </cell>
        </row>
        <row r="1815">
          <cell r="P1815">
            <v>0</v>
          </cell>
          <cell r="S1815" t="str">
            <v xml:space="preserve">32939 </v>
          </cell>
          <cell r="AA1815">
            <v>32939</v>
          </cell>
        </row>
        <row r="1816">
          <cell r="P1816">
            <v>0</v>
          </cell>
          <cell r="S1816" t="str">
            <v xml:space="preserve">32939 </v>
          </cell>
          <cell r="AA1816">
            <v>32939</v>
          </cell>
        </row>
        <row r="1817">
          <cell r="P1817">
            <v>0</v>
          </cell>
          <cell r="S1817" t="str">
            <v xml:space="preserve">32939 </v>
          </cell>
          <cell r="AA1817">
            <v>32939</v>
          </cell>
        </row>
        <row r="1818">
          <cell r="P1818">
            <v>0</v>
          </cell>
          <cell r="S1818" t="str">
            <v xml:space="preserve">32939 </v>
          </cell>
          <cell r="AA1818">
            <v>32939</v>
          </cell>
        </row>
        <row r="1819">
          <cell r="P1819">
            <v>0</v>
          </cell>
          <cell r="S1819" t="str">
            <v xml:space="preserve">32939 </v>
          </cell>
          <cell r="AA1819">
            <v>32939</v>
          </cell>
        </row>
        <row r="1820">
          <cell r="P1820">
            <v>0</v>
          </cell>
          <cell r="S1820" t="str">
            <v xml:space="preserve">32939 </v>
          </cell>
          <cell r="AA1820">
            <v>32939</v>
          </cell>
        </row>
        <row r="1821">
          <cell r="P1821">
            <v>0</v>
          </cell>
          <cell r="S1821" t="str">
            <v xml:space="preserve">32939 </v>
          </cell>
          <cell r="AA1821">
            <v>32939</v>
          </cell>
        </row>
        <row r="1822">
          <cell r="P1822">
            <v>0</v>
          </cell>
          <cell r="S1822" t="str">
            <v xml:space="preserve">32939 </v>
          </cell>
          <cell r="AA1822">
            <v>32939</v>
          </cell>
        </row>
        <row r="1823">
          <cell r="P1823">
            <v>0</v>
          </cell>
          <cell r="S1823" t="str">
            <v xml:space="preserve">32939 </v>
          </cell>
          <cell r="AA1823">
            <v>32939</v>
          </cell>
        </row>
        <row r="1824">
          <cell r="P1824">
            <v>0</v>
          </cell>
          <cell r="S1824" t="str">
            <v xml:space="preserve">32939 </v>
          </cell>
          <cell r="AA1824">
            <v>32939</v>
          </cell>
        </row>
        <row r="1825">
          <cell r="P1825">
            <v>0</v>
          </cell>
          <cell r="S1825" t="str">
            <v xml:space="preserve">32939 </v>
          </cell>
          <cell r="AA1825">
            <v>32939</v>
          </cell>
        </row>
        <row r="1826">
          <cell r="P1826">
            <v>0</v>
          </cell>
          <cell r="S1826" t="str">
            <v xml:space="preserve">32939 </v>
          </cell>
          <cell r="AA1826">
            <v>32939</v>
          </cell>
        </row>
        <row r="1827">
          <cell r="P1827">
            <v>0</v>
          </cell>
          <cell r="S1827" t="str">
            <v xml:space="preserve">32939 </v>
          </cell>
          <cell r="AA1827">
            <v>32939</v>
          </cell>
        </row>
        <row r="1828">
          <cell r="P1828">
            <v>0</v>
          </cell>
          <cell r="S1828" t="str">
            <v xml:space="preserve">32939 </v>
          </cell>
          <cell r="AA1828">
            <v>32939</v>
          </cell>
        </row>
        <row r="1829">
          <cell r="P1829">
            <v>0</v>
          </cell>
          <cell r="S1829" t="str">
            <v xml:space="preserve">32939 </v>
          </cell>
          <cell r="AA1829">
            <v>32939</v>
          </cell>
        </row>
        <row r="1830">
          <cell r="P1830">
            <v>0</v>
          </cell>
          <cell r="S1830" t="str">
            <v xml:space="preserve">32939 </v>
          </cell>
          <cell r="AA1830">
            <v>32939</v>
          </cell>
        </row>
        <row r="1831">
          <cell r="P1831">
            <v>0</v>
          </cell>
          <cell r="S1831" t="str">
            <v xml:space="preserve">32939 </v>
          </cell>
          <cell r="AA1831">
            <v>32939</v>
          </cell>
        </row>
        <row r="1832">
          <cell r="P1832">
            <v>0</v>
          </cell>
          <cell r="S1832" t="str">
            <v xml:space="preserve">32939 </v>
          </cell>
          <cell r="AA1832">
            <v>32939</v>
          </cell>
        </row>
        <row r="1833">
          <cell r="P1833">
            <v>0</v>
          </cell>
          <cell r="S1833" t="str">
            <v xml:space="preserve">32939 </v>
          </cell>
          <cell r="AA1833">
            <v>32939</v>
          </cell>
        </row>
        <row r="1834">
          <cell r="P1834">
            <v>0</v>
          </cell>
          <cell r="S1834" t="str">
            <v xml:space="preserve">32939 </v>
          </cell>
          <cell r="AA1834">
            <v>32939</v>
          </cell>
        </row>
        <row r="1835">
          <cell r="P1835">
            <v>0</v>
          </cell>
          <cell r="S1835" t="str">
            <v xml:space="preserve">32939 </v>
          </cell>
          <cell r="AA1835">
            <v>32939</v>
          </cell>
        </row>
        <row r="1836">
          <cell r="P1836">
            <v>0</v>
          </cell>
          <cell r="S1836" t="str">
            <v xml:space="preserve">32939 </v>
          </cell>
          <cell r="AA1836">
            <v>32939</v>
          </cell>
        </row>
        <row r="1837">
          <cell r="P1837">
            <v>0</v>
          </cell>
          <cell r="S1837" t="str">
            <v xml:space="preserve">32939 </v>
          </cell>
          <cell r="AA1837">
            <v>32939</v>
          </cell>
        </row>
        <row r="1838">
          <cell r="P1838">
            <v>0</v>
          </cell>
          <cell r="S1838" t="str">
            <v xml:space="preserve">32939 </v>
          </cell>
          <cell r="AA1838">
            <v>32939</v>
          </cell>
        </row>
        <row r="1839">
          <cell r="P1839">
            <v>0</v>
          </cell>
          <cell r="S1839" t="str">
            <v xml:space="preserve">32939 </v>
          </cell>
          <cell r="AA1839">
            <v>32939</v>
          </cell>
        </row>
        <row r="1840">
          <cell r="P1840">
            <v>0</v>
          </cell>
          <cell r="S1840" t="str">
            <v xml:space="preserve">32939 </v>
          </cell>
          <cell r="AA1840">
            <v>32939</v>
          </cell>
        </row>
        <row r="1841">
          <cell r="P1841">
            <v>0</v>
          </cell>
          <cell r="S1841" t="str">
            <v xml:space="preserve">32939 </v>
          </cell>
          <cell r="AA1841">
            <v>32939</v>
          </cell>
        </row>
        <row r="1842">
          <cell r="P1842">
            <v>0</v>
          </cell>
          <cell r="S1842" t="str">
            <v xml:space="preserve">32939 </v>
          </cell>
          <cell r="AA1842">
            <v>32939</v>
          </cell>
        </row>
        <row r="1843">
          <cell r="P1843">
            <v>0</v>
          </cell>
          <cell r="S1843" t="str">
            <v xml:space="preserve">32939 </v>
          </cell>
          <cell r="AA1843">
            <v>32939</v>
          </cell>
        </row>
        <row r="1844">
          <cell r="P1844">
            <v>0</v>
          </cell>
          <cell r="S1844" t="str">
            <v xml:space="preserve">32939 </v>
          </cell>
          <cell r="AA1844">
            <v>32939</v>
          </cell>
        </row>
        <row r="1845">
          <cell r="P1845">
            <v>0</v>
          </cell>
          <cell r="S1845" t="str">
            <v xml:space="preserve">32939 </v>
          </cell>
          <cell r="AA1845">
            <v>32939</v>
          </cell>
        </row>
        <row r="1846">
          <cell r="P1846">
            <v>0</v>
          </cell>
          <cell r="S1846" t="str">
            <v xml:space="preserve">32939 </v>
          </cell>
          <cell r="AA1846">
            <v>32939</v>
          </cell>
        </row>
        <row r="1847">
          <cell r="P1847">
            <v>0</v>
          </cell>
          <cell r="S1847" t="str">
            <v xml:space="preserve">32939 </v>
          </cell>
          <cell r="AA1847">
            <v>32939</v>
          </cell>
        </row>
        <row r="1848">
          <cell r="P1848">
            <v>0</v>
          </cell>
          <cell r="S1848" t="str">
            <v xml:space="preserve">32939 </v>
          </cell>
          <cell r="AA1848">
            <v>32939</v>
          </cell>
        </row>
        <row r="1849">
          <cell r="P1849">
            <v>0</v>
          </cell>
          <cell r="S1849" t="str">
            <v xml:space="preserve">32939 </v>
          </cell>
          <cell r="AA1849">
            <v>32939</v>
          </cell>
        </row>
        <row r="1850">
          <cell r="P1850">
            <v>0</v>
          </cell>
          <cell r="S1850" t="str">
            <v xml:space="preserve">32939 </v>
          </cell>
          <cell r="AA1850">
            <v>32939</v>
          </cell>
        </row>
        <row r="1851">
          <cell r="P1851">
            <v>0</v>
          </cell>
          <cell r="S1851" t="str">
            <v xml:space="preserve">32939 </v>
          </cell>
          <cell r="AA1851">
            <v>32939</v>
          </cell>
        </row>
        <row r="1852">
          <cell r="P1852">
            <v>0</v>
          </cell>
          <cell r="S1852" t="str">
            <v xml:space="preserve">32939 </v>
          </cell>
          <cell r="AA1852">
            <v>32939</v>
          </cell>
        </row>
        <row r="1853">
          <cell r="P1853">
            <v>0</v>
          </cell>
          <cell r="S1853" t="str">
            <v xml:space="preserve">32939 </v>
          </cell>
          <cell r="AA1853">
            <v>32939</v>
          </cell>
        </row>
        <row r="1854">
          <cell r="P1854">
            <v>0</v>
          </cell>
          <cell r="S1854" t="str">
            <v xml:space="preserve">32939 </v>
          </cell>
          <cell r="AA1854">
            <v>32939</v>
          </cell>
        </row>
        <row r="1855">
          <cell r="P1855">
            <v>0</v>
          </cell>
          <cell r="S1855" t="str">
            <v xml:space="preserve">32939 </v>
          </cell>
          <cell r="AA1855">
            <v>32939</v>
          </cell>
        </row>
        <row r="1856">
          <cell r="P1856">
            <v>0</v>
          </cell>
          <cell r="S1856" t="str">
            <v xml:space="preserve">32939 </v>
          </cell>
          <cell r="AA1856">
            <v>32939</v>
          </cell>
        </row>
        <row r="1857">
          <cell r="P1857">
            <v>0</v>
          </cell>
          <cell r="S1857" t="str">
            <v xml:space="preserve">32939 </v>
          </cell>
          <cell r="AA1857">
            <v>32939</v>
          </cell>
        </row>
        <row r="1858">
          <cell r="P1858">
            <v>0</v>
          </cell>
          <cell r="S1858" t="str">
            <v xml:space="preserve">32939 </v>
          </cell>
          <cell r="AA1858">
            <v>32939</v>
          </cell>
        </row>
        <row r="1859">
          <cell r="P1859">
            <v>0</v>
          </cell>
          <cell r="S1859" t="str">
            <v xml:space="preserve">32939 </v>
          </cell>
          <cell r="AA1859">
            <v>32939</v>
          </cell>
        </row>
        <row r="1860">
          <cell r="P1860">
            <v>0</v>
          </cell>
          <cell r="S1860" t="str">
            <v xml:space="preserve">32939 </v>
          </cell>
          <cell r="AA1860">
            <v>32939</v>
          </cell>
        </row>
        <row r="1861">
          <cell r="P1861">
            <v>0</v>
          </cell>
          <cell r="S1861" t="str">
            <v xml:space="preserve">32939 </v>
          </cell>
          <cell r="AA1861">
            <v>32939</v>
          </cell>
        </row>
        <row r="1862">
          <cell r="P1862">
            <v>0</v>
          </cell>
          <cell r="S1862" t="str">
            <v xml:space="preserve">32939 </v>
          </cell>
          <cell r="AA1862">
            <v>32939</v>
          </cell>
        </row>
        <row r="1863">
          <cell r="P1863">
            <v>0</v>
          </cell>
          <cell r="S1863" t="str">
            <v xml:space="preserve">32939 </v>
          </cell>
          <cell r="AA1863">
            <v>32939</v>
          </cell>
        </row>
        <row r="1864">
          <cell r="P1864">
            <v>0</v>
          </cell>
          <cell r="S1864" t="str">
            <v xml:space="preserve">32939 </v>
          </cell>
          <cell r="AA1864">
            <v>32939</v>
          </cell>
        </row>
        <row r="1865">
          <cell r="P1865">
            <v>0</v>
          </cell>
          <cell r="S1865" t="str">
            <v xml:space="preserve">32939 </v>
          </cell>
          <cell r="AA1865">
            <v>32939</v>
          </cell>
        </row>
        <row r="1866">
          <cell r="P1866">
            <v>0</v>
          </cell>
          <cell r="S1866" t="str">
            <v xml:space="preserve">32939 </v>
          </cell>
          <cell r="AA1866">
            <v>32939</v>
          </cell>
        </row>
        <row r="1867">
          <cell r="P1867">
            <v>0</v>
          </cell>
          <cell r="S1867" t="str">
            <v xml:space="preserve">32939 </v>
          </cell>
          <cell r="AA1867">
            <v>32939</v>
          </cell>
        </row>
        <row r="1868">
          <cell r="P1868">
            <v>0</v>
          </cell>
          <cell r="S1868" t="str">
            <v xml:space="preserve">32939 </v>
          </cell>
          <cell r="AA1868">
            <v>32939</v>
          </cell>
        </row>
        <row r="1869">
          <cell r="P1869">
            <v>0</v>
          </cell>
          <cell r="S1869" t="str">
            <v xml:space="preserve">32939 </v>
          </cell>
          <cell r="AA1869">
            <v>32939</v>
          </cell>
        </row>
        <row r="1870">
          <cell r="P1870">
            <v>0</v>
          </cell>
          <cell r="S1870" t="str">
            <v xml:space="preserve">32939 </v>
          </cell>
          <cell r="AA1870">
            <v>32939</v>
          </cell>
        </row>
        <row r="1871">
          <cell r="P1871">
            <v>0</v>
          </cell>
          <cell r="S1871" t="str">
            <v xml:space="preserve">32939 </v>
          </cell>
          <cell r="AA1871">
            <v>32939</v>
          </cell>
        </row>
        <row r="1872">
          <cell r="P1872">
            <v>0</v>
          </cell>
          <cell r="S1872" t="str">
            <v xml:space="preserve">32939 </v>
          </cell>
          <cell r="AA1872">
            <v>32939</v>
          </cell>
        </row>
        <row r="1873">
          <cell r="P1873">
            <v>0</v>
          </cell>
          <cell r="S1873" t="str">
            <v xml:space="preserve">32939 </v>
          </cell>
          <cell r="AA1873">
            <v>32939</v>
          </cell>
        </row>
        <row r="1874">
          <cell r="P1874">
            <v>0</v>
          </cell>
          <cell r="S1874" t="str">
            <v xml:space="preserve">32939 </v>
          </cell>
          <cell r="AA1874">
            <v>32939</v>
          </cell>
        </row>
        <row r="1875">
          <cell r="P1875">
            <v>0</v>
          </cell>
          <cell r="S1875" t="str">
            <v xml:space="preserve">32939 </v>
          </cell>
          <cell r="AA1875">
            <v>32939</v>
          </cell>
        </row>
        <row r="1876">
          <cell r="P1876">
            <v>0</v>
          </cell>
          <cell r="S1876" t="str">
            <v xml:space="preserve">32939 </v>
          </cell>
          <cell r="AA1876">
            <v>32939</v>
          </cell>
        </row>
        <row r="1877">
          <cell r="P1877">
            <v>0</v>
          </cell>
          <cell r="S1877" t="str">
            <v xml:space="preserve">32939 </v>
          </cell>
          <cell r="AA1877">
            <v>32939</v>
          </cell>
        </row>
        <row r="1878">
          <cell r="P1878">
            <v>0</v>
          </cell>
          <cell r="S1878" t="str">
            <v xml:space="preserve">32939 </v>
          </cell>
          <cell r="AA1878">
            <v>32939</v>
          </cell>
        </row>
        <row r="1879">
          <cell r="P1879">
            <v>0</v>
          </cell>
          <cell r="S1879" t="str">
            <v xml:space="preserve">32939 </v>
          </cell>
          <cell r="AA1879">
            <v>32939</v>
          </cell>
        </row>
        <row r="1880">
          <cell r="P1880">
            <v>0</v>
          </cell>
          <cell r="S1880" t="str">
            <v xml:space="preserve">32939 </v>
          </cell>
          <cell r="AA1880">
            <v>32939</v>
          </cell>
        </row>
        <row r="1881">
          <cell r="P1881">
            <v>0</v>
          </cell>
          <cell r="S1881" t="str">
            <v xml:space="preserve">32939 </v>
          </cell>
          <cell r="AA1881">
            <v>32939</v>
          </cell>
        </row>
        <row r="1882">
          <cell r="P1882">
            <v>0</v>
          </cell>
          <cell r="S1882" t="str">
            <v xml:space="preserve">32939 </v>
          </cell>
          <cell r="AA1882">
            <v>32939</v>
          </cell>
        </row>
        <row r="1883">
          <cell r="P1883">
            <v>0</v>
          </cell>
          <cell r="S1883" t="str">
            <v xml:space="preserve">32939 </v>
          </cell>
          <cell r="AA1883">
            <v>32939</v>
          </cell>
        </row>
        <row r="1884">
          <cell r="P1884">
            <v>0</v>
          </cell>
          <cell r="S1884" t="str">
            <v xml:space="preserve">32939 </v>
          </cell>
          <cell r="AA1884">
            <v>32939</v>
          </cell>
        </row>
        <row r="1885">
          <cell r="P1885">
            <v>0</v>
          </cell>
          <cell r="S1885" t="str">
            <v xml:space="preserve">32939 </v>
          </cell>
          <cell r="AA1885">
            <v>32939</v>
          </cell>
        </row>
        <row r="1886">
          <cell r="P1886">
            <v>0</v>
          </cell>
          <cell r="S1886" t="str">
            <v xml:space="preserve">32939 </v>
          </cell>
          <cell r="AA1886">
            <v>32939</v>
          </cell>
        </row>
        <row r="1887">
          <cell r="P1887">
            <v>0</v>
          </cell>
          <cell r="S1887" t="str">
            <v xml:space="preserve">32939 </v>
          </cell>
          <cell r="AA1887">
            <v>32939</v>
          </cell>
        </row>
        <row r="1888">
          <cell r="P1888">
            <v>0</v>
          </cell>
          <cell r="S1888" t="str">
            <v xml:space="preserve">32939 </v>
          </cell>
          <cell r="AA1888">
            <v>32939</v>
          </cell>
        </row>
        <row r="1889">
          <cell r="P1889">
            <v>0</v>
          </cell>
          <cell r="S1889" t="str">
            <v xml:space="preserve">32939 </v>
          </cell>
          <cell r="AA1889">
            <v>32939</v>
          </cell>
        </row>
        <row r="1890">
          <cell r="P1890">
            <v>0</v>
          </cell>
          <cell r="S1890" t="str">
            <v xml:space="preserve">32939 </v>
          </cell>
          <cell r="AA1890">
            <v>32939</v>
          </cell>
        </row>
        <row r="1891">
          <cell r="P1891">
            <v>0</v>
          </cell>
          <cell r="S1891" t="str">
            <v xml:space="preserve">32939 </v>
          </cell>
          <cell r="AA1891">
            <v>32939</v>
          </cell>
        </row>
        <row r="1892">
          <cell r="P1892">
            <v>0</v>
          </cell>
          <cell r="S1892" t="str">
            <v xml:space="preserve">32939 </v>
          </cell>
          <cell r="AA1892">
            <v>32939</v>
          </cell>
        </row>
        <row r="1893">
          <cell r="P1893">
            <v>0</v>
          </cell>
          <cell r="S1893" t="str">
            <v xml:space="preserve">32939 </v>
          </cell>
          <cell r="AA1893">
            <v>32939</v>
          </cell>
        </row>
        <row r="1894">
          <cell r="P1894">
            <v>0</v>
          </cell>
          <cell r="S1894" t="str">
            <v xml:space="preserve">32939 </v>
          </cell>
          <cell r="AA1894">
            <v>32939</v>
          </cell>
        </row>
        <row r="1895">
          <cell r="P1895">
            <v>0</v>
          </cell>
          <cell r="S1895" t="str">
            <v xml:space="preserve">32939 </v>
          </cell>
          <cell r="AA1895">
            <v>32939</v>
          </cell>
        </row>
        <row r="1896">
          <cell r="P1896">
            <v>0</v>
          </cell>
          <cell r="S1896" t="str">
            <v xml:space="preserve">32939 </v>
          </cell>
          <cell r="AA1896">
            <v>32939</v>
          </cell>
        </row>
        <row r="1897">
          <cell r="P1897">
            <v>0</v>
          </cell>
          <cell r="S1897" t="str">
            <v xml:space="preserve">32939 </v>
          </cell>
          <cell r="AA1897">
            <v>32939</v>
          </cell>
        </row>
        <row r="1898">
          <cell r="P1898">
            <v>0</v>
          </cell>
          <cell r="S1898" t="str">
            <v xml:space="preserve">32939 </v>
          </cell>
          <cell r="AA1898">
            <v>32939</v>
          </cell>
        </row>
        <row r="1899">
          <cell r="P1899">
            <v>0</v>
          </cell>
          <cell r="S1899" t="str">
            <v xml:space="preserve">32939 </v>
          </cell>
          <cell r="AA1899">
            <v>32939</v>
          </cell>
        </row>
        <row r="1900">
          <cell r="P1900">
            <v>0</v>
          </cell>
          <cell r="S1900" t="str">
            <v xml:space="preserve">32939 </v>
          </cell>
          <cell r="AA1900">
            <v>32939</v>
          </cell>
        </row>
        <row r="1901">
          <cell r="P1901">
            <v>0</v>
          </cell>
          <cell r="S1901" t="str">
            <v xml:space="preserve">32939 </v>
          </cell>
          <cell r="AA1901">
            <v>32939</v>
          </cell>
        </row>
        <row r="1902">
          <cell r="P1902">
            <v>0</v>
          </cell>
          <cell r="S1902" t="str">
            <v xml:space="preserve">32939 </v>
          </cell>
          <cell r="AA1902">
            <v>32939</v>
          </cell>
        </row>
        <row r="1903">
          <cell r="P1903">
            <v>0</v>
          </cell>
          <cell r="S1903" t="str">
            <v xml:space="preserve">32939 </v>
          </cell>
          <cell r="AA1903">
            <v>32939</v>
          </cell>
        </row>
        <row r="1904">
          <cell r="P1904">
            <v>0</v>
          </cell>
          <cell r="S1904" t="str">
            <v xml:space="preserve">32939 </v>
          </cell>
          <cell r="AA1904">
            <v>32939</v>
          </cell>
        </row>
        <row r="1905">
          <cell r="P1905">
            <v>0</v>
          </cell>
          <cell r="S1905" t="str">
            <v xml:space="preserve">32939 </v>
          </cell>
          <cell r="AA1905">
            <v>32939</v>
          </cell>
        </row>
        <row r="1906">
          <cell r="P1906">
            <v>0</v>
          </cell>
          <cell r="S1906" t="str">
            <v xml:space="preserve">32939 </v>
          </cell>
          <cell r="AA1906">
            <v>32939</v>
          </cell>
        </row>
        <row r="1907">
          <cell r="P1907">
            <v>0</v>
          </cell>
          <cell r="S1907" t="str">
            <v xml:space="preserve">32939 </v>
          </cell>
          <cell r="AA1907">
            <v>32939</v>
          </cell>
        </row>
        <row r="1908">
          <cell r="P1908">
            <v>0</v>
          </cell>
          <cell r="S1908" t="str">
            <v xml:space="preserve">32939 </v>
          </cell>
          <cell r="AA1908">
            <v>32939</v>
          </cell>
        </row>
        <row r="1909">
          <cell r="P1909">
            <v>0</v>
          </cell>
          <cell r="S1909" t="str">
            <v xml:space="preserve">32939 </v>
          </cell>
          <cell r="AA1909">
            <v>32939</v>
          </cell>
        </row>
        <row r="1910">
          <cell r="P1910">
            <v>0</v>
          </cell>
          <cell r="S1910" t="str">
            <v xml:space="preserve">32939 </v>
          </cell>
          <cell r="AA1910">
            <v>32939</v>
          </cell>
        </row>
        <row r="1911">
          <cell r="P1911">
            <v>0</v>
          </cell>
          <cell r="S1911" t="str">
            <v xml:space="preserve">32939 </v>
          </cell>
          <cell r="AA1911">
            <v>32939</v>
          </cell>
        </row>
        <row r="1912">
          <cell r="P1912">
            <v>0</v>
          </cell>
          <cell r="S1912" t="str">
            <v xml:space="preserve">32939 </v>
          </cell>
          <cell r="AA1912">
            <v>32939</v>
          </cell>
        </row>
        <row r="1913">
          <cell r="P1913">
            <v>0</v>
          </cell>
          <cell r="S1913" t="str">
            <v xml:space="preserve">32939 </v>
          </cell>
          <cell r="AA1913">
            <v>32939</v>
          </cell>
        </row>
        <row r="1914">
          <cell r="P1914">
            <v>0</v>
          </cell>
          <cell r="S1914" t="str">
            <v xml:space="preserve">32939 </v>
          </cell>
          <cell r="AA1914">
            <v>32939</v>
          </cell>
        </row>
        <row r="1915">
          <cell r="P1915">
            <v>0</v>
          </cell>
          <cell r="S1915" t="str">
            <v xml:space="preserve">32939 </v>
          </cell>
          <cell r="AA1915">
            <v>32939</v>
          </cell>
        </row>
        <row r="1916">
          <cell r="P1916">
            <v>0</v>
          </cell>
          <cell r="S1916" t="str">
            <v xml:space="preserve">32939 </v>
          </cell>
          <cell r="AA1916">
            <v>32939</v>
          </cell>
        </row>
        <row r="1917">
          <cell r="P1917">
            <v>0</v>
          </cell>
          <cell r="S1917" t="str">
            <v xml:space="preserve">32939 </v>
          </cell>
          <cell r="AA1917">
            <v>32939</v>
          </cell>
        </row>
        <row r="1918">
          <cell r="P1918">
            <v>0</v>
          </cell>
          <cell r="S1918" t="str">
            <v xml:space="preserve">32939 </v>
          </cell>
          <cell r="AA1918">
            <v>32939</v>
          </cell>
        </row>
        <row r="1919">
          <cell r="P1919">
            <v>0</v>
          </cell>
          <cell r="S1919" t="str">
            <v xml:space="preserve">32939 </v>
          </cell>
          <cell r="AA1919">
            <v>32939</v>
          </cell>
        </row>
        <row r="1920">
          <cell r="P1920">
            <v>0</v>
          </cell>
          <cell r="S1920" t="str">
            <v xml:space="preserve">32939 </v>
          </cell>
          <cell r="AA1920">
            <v>32939</v>
          </cell>
        </row>
        <row r="1921">
          <cell r="P1921">
            <v>0</v>
          </cell>
          <cell r="S1921" t="str">
            <v xml:space="preserve">32939 </v>
          </cell>
          <cell r="AA1921">
            <v>32939</v>
          </cell>
        </row>
        <row r="1922">
          <cell r="P1922">
            <v>0</v>
          </cell>
          <cell r="S1922" t="str">
            <v xml:space="preserve">32939 </v>
          </cell>
          <cell r="AA1922">
            <v>32939</v>
          </cell>
        </row>
        <row r="1923">
          <cell r="P1923">
            <v>0</v>
          </cell>
          <cell r="S1923" t="str">
            <v xml:space="preserve">32939 </v>
          </cell>
          <cell r="AA1923">
            <v>32939</v>
          </cell>
        </row>
        <row r="1924">
          <cell r="P1924">
            <v>0</v>
          </cell>
          <cell r="S1924" t="str">
            <v xml:space="preserve">32939 </v>
          </cell>
          <cell r="AA1924">
            <v>32939</v>
          </cell>
        </row>
        <row r="1925">
          <cell r="P1925">
            <v>0</v>
          </cell>
          <cell r="S1925" t="str">
            <v xml:space="preserve">32939 </v>
          </cell>
          <cell r="AA1925">
            <v>32939</v>
          </cell>
        </row>
        <row r="1926">
          <cell r="P1926">
            <v>0</v>
          </cell>
          <cell r="S1926" t="str">
            <v xml:space="preserve">32939 </v>
          </cell>
          <cell r="AA1926">
            <v>32939</v>
          </cell>
        </row>
        <row r="1927">
          <cell r="P1927">
            <v>0</v>
          </cell>
          <cell r="S1927" t="str">
            <v xml:space="preserve">32939 </v>
          </cell>
          <cell r="AA1927">
            <v>32939</v>
          </cell>
        </row>
        <row r="1928">
          <cell r="P1928">
            <v>0</v>
          </cell>
          <cell r="S1928" t="str">
            <v xml:space="preserve">32939 </v>
          </cell>
          <cell r="AA1928">
            <v>32939</v>
          </cell>
        </row>
        <row r="1929">
          <cell r="P1929">
            <v>0</v>
          </cell>
          <cell r="S1929" t="str">
            <v xml:space="preserve">32939 </v>
          </cell>
          <cell r="AA1929">
            <v>32939</v>
          </cell>
        </row>
        <row r="1930">
          <cell r="P1930">
            <v>0</v>
          </cell>
          <cell r="S1930" t="str">
            <v xml:space="preserve">32939 </v>
          </cell>
          <cell r="AA1930">
            <v>32939</v>
          </cell>
        </row>
        <row r="1931">
          <cell r="P1931">
            <v>0</v>
          </cell>
          <cell r="S1931" t="str">
            <v xml:space="preserve">32939 </v>
          </cell>
          <cell r="AA1931">
            <v>32939</v>
          </cell>
        </row>
        <row r="1932">
          <cell r="P1932">
            <v>0</v>
          </cell>
          <cell r="S1932" t="str">
            <v xml:space="preserve">32939 </v>
          </cell>
          <cell r="AA1932">
            <v>32939</v>
          </cell>
        </row>
        <row r="1933">
          <cell r="P1933">
            <v>0</v>
          </cell>
          <cell r="S1933" t="str">
            <v xml:space="preserve">32939 </v>
          </cell>
          <cell r="AA1933">
            <v>32939</v>
          </cell>
        </row>
        <row r="1934">
          <cell r="P1934">
            <v>0</v>
          </cell>
          <cell r="S1934" t="str">
            <v xml:space="preserve">32939 </v>
          </cell>
          <cell r="AA1934">
            <v>32939</v>
          </cell>
        </row>
        <row r="1935">
          <cell r="P1935">
            <v>0</v>
          </cell>
          <cell r="S1935" t="str">
            <v xml:space="preserve">32939 </v>
          </cell>
          <cell r="AA1935">
            <v>32939</v>
          </cell>
        </row>
        <row r="1936">
          <cell r="P1936">
            <v>0</v>
          </cell>
          <cell r="S1936" t="str">
            <v xml:space="preserve">32939 </v>
          </cell>
          <cell r="AA1936">
            <v>32939</v>
          </cell>
        </row>
        <row r="1937">
          <cell r="P1937">
            <v>0</v>
          </cell>
          <cell r="S1937" t="str">
            <v xml:space="preserve">32939 </v>
          </cell>
          <cell r="AA1937">
            <v>32939</v>
          </cell>
        </row>
        <row r="1938">
          <cell r="P1938">
            <v>0</v>
          </cell>
          <cell r="S1938" t="str">
            <v xml:space="preserve">32939 </v>
          </cell>
          <cell r="AA1938">
            <v>32939</v>
          </cell>
        </row>
        <row r="1939">
          <cell r="P1939">
            <v>0</v>
          </cell>
          <cell r="S1939" t="str">
            <v xml:space="preserve">32939 </v>
          </cell>
          <cell r="AA1939">
            <v>32939</v>
          </cell>
        </row>
        <row r="1940">
          <cell r="P1940">
            <v>0</v>
          </cell>
          <cell r="S1940" t="str">
            <v xml:space="preserve">32939 </v>
          </cell>
          <cell r="AA1940">
            <v>32939</v>
          </cell>
        </row>
        <row r="1941">
          <cell r="P1941">
            <v>0</v>
          </cell>
          <cell r="S1941" t="str">
            <v xml:space="preserve">32939 </v>
          </cell>
          <cell r="AA1941">
            <v>32939</v>
          </cell>
        </row>
        <row r="1942">
          <cell r="P1942">
            <v>0</v>
          </cell>
          <cell r="S1942" t="str">
            <v xml:space="preserve">32939 </v>
          </cell>
          <cell r="AA1942">
            <v>32939</v>
          </cell>
        </row>
        <row r="1943">
          <cell r="P1943">
            <v>0</v>
          </cell>
          <cell r="S1943" t="str">
            <v xml:space="preserve">32939 </v>
          </cell>
          <cell r="AA1943">
            <v>32939</v>
          </cell>
        </row>
        <row r="1944">
          <cell r="P1944">
            <v>0</v>
          </cell>
          <cell r="S1944" t="str">
            <v xml:space="preserve">32939 </v>
          </cell>
          <cell r="AA1944">
            <v>32939</v>
          </cell>
        </row>
        <row r="1945">
          <cell r="P1945">
            <v>0</v>
          </cell>
          <cell r="S1945" t="str">
            <v xml:space="preserve">32939 </v>
          </cell>
          <cell r="AA1945">
            <v>32939</v>
          </cell>
        </row>
        <row r="1946">
          <cell r="P1946">
            <v>0</v>
          </cell>
          <cell r="S1946" t="str">
            <v xml:space="preserve">32939 </v>
          </cell>
          <cell r="AA1946">
            <v>32939</v>
          </cell>
        </row>
        <row r="1947">
          <cell r="P1947">
            <v>0</v>
          </cell>
          <cell r="S1947" t="str">
            <v xml:space="preserve">32939 </v>
          </cell>
          <cell r="AA1947">
            <v>32939</v>
          </cell>
        </row>
        <row r="1948">
          <cell r="P1948">
            <v>0</v>
          </cell>
          <cell r="S1948" t="str">
            <v xml:space="preserve">32939 </v>
          </cell>
          <cell r="AA1948">
            <v>32939</v>
          </cell>
        </row>
        <row r="1949">
          <cell r="P1949">
            <v>0</v>
          </cell>
          <cell r="S1949" t="str">
            <v xml:space="preserve">32939 </v>
          </cell>
          <cell r="AA1949">
            <v>32939</v>
          </cell>
        </row>
        <row r="1950">
          <cell r="P1950">
            <v>0</v>
          </cell>
          <cell r="S1950" t="str">
            <v xml:space="preserve">32939 </v>
          </cell>
          <cell r="AA1950">
            <v>32939</v>
          </cell>
        </row>
        <row r="1951">
          <cell r="P1951">
            <v>0</v>
          </cell>
          <cell r="S1951" t="str">
            <v xml:space="preserve">32939 </v>
          </cell>
          <cell r="AA1951">
            <v>32939</v>
          </cell>
        </row>
        <row r="1952">
          <cell r="P1952">
            <v>0</v>
          </cell>
          <cell r="S1952" t="str">
            <v xml:space="preserve">32939 </v>
          </cell>
          <cell r="AA1952">
            <v>32939</v>
          </cell>
        </row>
        <row r="1953">
          <cell r="P1953">
            <v>0</v>
          </cell>
          <cell r="S1953" t="str">
            <v xml:space="preserve">32939 </v>
          </cell>
          <cell r="AA1953">
            <v>32939</v>
          </cell>
        </row>
        <row r="1954">
          <cell r="P1954">
            <v>0</v>
          </cell>
          <cell r="S1954" t="str">
            <v xml:space="preserve">32939 </v>
          </cell>
          <cell r="AA1954">
            <v>32939</v>
          </cell>
        </row>
        <row r="1955">
          <cell r="P1955">
            <v>0</v>
          </cell>
          <cell r="S1955" t="str">
            <v xml:space="preserve">32939 </v>
          </cell>
          <cell r="AA1955">
            <v>32939</v>
          </cell>
        </row>
        <row r="1956">
          <cell r="P1956">
            <v>0</v>
          </cell>
          <cell r="S1956" t="str">
            <v xml:space="preserve">32939 </v>
          </cell>
          <cell r="AA1956">
            <v>32939</v>
          </cell>
        </row>
        <row r="1957">
          <cell r="P1957">
            <v>0</v>
          </cell>
          <cell r="S1957" t="str">
            <v xml:space="preserve">32939 </v>
          </cell>
          <cell r="AA1957">
            <v>32939</v>
          </cell>
        </row>
        <row r="1958">
          <cell r="P1958">
            <v>0</v>
          </cell>
          <cell r="S1958" t="str">
            <v xml:space="preserve">32939 </v>
          </cell>
          <cell r="AA1958">
            <v>32939</v>
          </cell>
        </row>
        <row r="1959">
          <cell r="P1959">
            <v>0</v>
          </cell>
          <cell r="S1959" t="str">
            <v xml:space="preserve">32939 </v>
          </cell>
          <cell r="AA1959">
            <v>32939</v>
          </cell>
        </row>
        <row r="1960">
          <cell r="P1960">
            <v>0</v>
          </cell>
          <cell r="S1960" t="str">
            <v xml:space="preserve">32939 </v>
          </cell>
          <cell r="AA1960">
            <v>32939</v>
          </cell>
        </row>
        <row r="1961">
          <cell r="P1961">
            <v>0</v>
          </cell>
          <cell r="S1961" t="str">
            <v xml:space="preserve">32939 </v>
          </cell>
          <cell r="AA1961">
            <v>32939</v>
          </cell>
        </row>
        <row r="1962">
          <cell r="P1962">
            <v>0</v>
          </cell>
          <cell r="S1962" t="str">
            <v xml:space="preserve">32939 </v>
          </cell>
          <cell r="AA1962">
            <v>32939</v>
          </cell>
        </row>
        <row r="1963">
          <cell r="P1963">
            <v>0</v>
          </cell>
          <cell r="S1963" t="str">
            <v xml:space="preserve">32939 </v>
          </cell>
          <cell r="AA1963">
            <v>32939</v>
          </cell>
        </row>
        <row r="1964">
          <cell r="P1964">
            <v>0</v>
          </cell>
          <cell r="S1964" t="str">
            <v xml:space="preserve">32939 </v>
          </cell>
          <cell r="AA1964">
            <v>32939</v>
          </cell>
        </row>
        <row r="1965">
          <cell r="P1965">
            <v>0</v>
          </cell>
          <cell r="S1965" t="str">
            <v xml:space="preserve">32939 </v>
          </cell>
          <cell r="AA1965">
            <v>32939</v>
          </cell>
        </row>
        <row r="1966">
          <cell r="P1966">
            <v>0</v>
          </cell>
          <cell r="S1966" t="str">
            <v xml:space="preserve">32939 </v>
          </cell>
          <cell r="AA1966">
            <v>32939</v>
          </cell>
        </row>
        <row r="1967">
          <cell r="P1967">
            <v>0</v>
          </cell>
          <cell r="S1967" t="str">
            <v xml:space="preserve">32939 </v>
          </cell>
          <cell r="AA1967">
            <v>32939</v>
          </cell>
        </row>
        <row r="1968">
          <cell r="P1968">
            <v>0</v>
          </cell>
          <cell r="S1968" t="str">
            <v xml:space="preserve">32939 </v>
          </cell>
          <cell r="AA1968">
            <v>32939</v>
          </cell>
        </row>
        <row r="1969">
          <cell r="P1969">
            <v>0</v>
          </cell>
          <cell r="S1969" t="str">
            <v xml:space="preserve">32939 </v>
          </cell>
          <cell r="AA1969">
            <v>32939</v>
          </cell>
        </row>
        <row r="1970">
          <cell r="P1970">
            <v>0</v>
          </cell>
          <cell r="S1970" t="str">
            <v xml:space="preserve">32939 </v>
          </cell>
          <cell r="AA1970">
            <v>32939</v>
          </cell>
        </row>
        <row r="1971">
          <cell r="P1971">
            <v>0</v>
          </cell>
          <cell r="S1971" t="str">
            <v xml:space="preserve">32939 </v>
          </cell>
          <cell r="AA1971">
            <v>32939</v>
          </cell>
        </row>
        <row r="1972">
          <cell r="P1972">
            <v>0</v>
          </cell>
          <cell r="S1972" t="str">
            <v xml:space="preserve">32939 </v>
          </cell>
          <cell r="AA1972">
            <v>32939</v>
          </cell>
        </row>
        <row r="1973">
          <cell r="P1973">
            <v>0</v>
          </cell>
          <cell r="S1973" t="str">
            <v xml:space="preserve">32939 </v>
          </cell>
          <cell r="AA1973">
            <v>32939</v>
          </cell>
        </row>
        <row r="1974">
          <cell r="P1974">
            <v>0</v>
          </cell>
          <cell r="S1974" t="str">
            <v xml:space="preserve">32939 </v>
          </cell>
          <cell r="AA1974">
            <v>32939</v>
          </cell>
        </row>
        <row r="1975">
          <cell r="P1975">
            <v>0</v>
          </cell>
          <cell r="S1975" t="str">
            <v xml:space="preserve">32939 </v>
          </cell>
          <cell r="AA1975">
            <v>32939</v>
          </cell>
        </row>
        <row r="1976">
          <cell r="P1976">
            <v>0</v>
          </cell>
          <cell r="S1976" t="str">
            <v xml:space="preserve">32939 </v>
          </cell>
          <cell r="AA1976">
            <v>32939</v>
          </cell>
        </row>
        <row r="1977">
          <cell r="P1977">
            <v>0</v>
          </cell>
          <cell r="S1977" t="str">
            <v xml:space="preserve">32939 </v>
          </cell>
          <cell r="AA1977">
            <v>32939</v>
          </cell>
        </row>
        <row r="1978">
          <cell r="P1978">
            <v>0</v>
          </cell>
          <cell r="S1978" t="str">
            <v xml:space="preserve">32939 </v>
          </cell>
          <cell r="AA1978">
            <v>32939</v>
          </cell>
        </row>
        <row r="1979">
          <cell r="P1979">
            <v>0</v>
          </cell>
          <cell r="S1979" t="str">
            <v xml:space="preserve">32939 </v>
          </cell>
          <cell r="AA1979">
            <v>32939</v>
          </cell>
        </row>
        <row r="1980">
          <cell r="P1980">
            <v>0</v>
          </cell>
          <cell r="S1980" t="str">
            <v xml:space="preserve">32939 </v>
          </cell>
          <cell r="AA1980">
            <v>32939</v>
          </cell>
        </row>
        <row r="1981">
          <cell r="P1981">
            <v>0</v>
          </cell>
          <cell r="S1981" t="str">
            <v xml:space="preserve">32939 </v>
          </cell>
          <cell r="AA1981">
            <v>32939</v>
          </cell>
        </row>
        <row r="1982">
          <cell r="P1982">
            <v>0</v>
          </cell>
          <cell r="S1982" t="str">
            <v xml:space="preserve">32939 </v>
          </cell>
          <cell r="AA1982">
            <v>32939</v>
          </cell>
        </row>
        <row r="1983">
          <cell r="P1983">
            <v>0</v>
          </cell>
          <cell r="S1983" t="str">
            <v xml:space="preserve">32939 </v>
          </cell>
          <cell r="AA1983">
            <v>32939</v>
          </cell>
        </row>
        <row r="1984">
          <cell r="P1984">
            <v>0</v>
          </cell>
          <cell r="S1984" t="str">
            <v xml:space="preserve">32939 </v>
          </cell>
          <cell r="AA1984">
            <v>32939</v>
          </cell>
        </row>
        <row r="1985">
          <cell r="P1985">
            <v>0</v>
          </cell>
          <cell r="S1985" t="str">
            <v xml:space="preserve">32939 </v>
          </cell>
          <cell r="AA1985">
            <v>32939</v>
          </cell>
        </row>
        <row r="1986">
          <cell r="P1986">
            <v>0</v>
          </cell>
          <cell r="S1986" t="str">
            <v xml:space="preserve">32939 </v>
          </cell>
          <cell r="AA1986">
            <v>32939</v>
          </cell>
        </row>
        <row r="1987">
          <cell r="P1987">
            <v>0</v>
          </cell>
          <cell r="S1987" t="str">
            <v xml:space="preserve">32939 </v>
          </cell>
          <cell r="AA1987">
            <v>32939</v>
          </cell>
        </row>
        <row r="1988">
          <cell r="P1988">
            <v>0</v>
          </cell>
          <cell r="S1988" t="str">
            <v xml:space="preserve">32939 </v>
          </cell>
          <cell r="AA1988">
            <v>32939</v>
          </cell>
        </row>
        <row r="1989">
          <cell r="P1989">
            <v>0</v>
          </cell>
          <cell r="S1989" t="str">
            <v xml:space="preserve">32939 </v>
          </cell>
          <cell r="AA1989">
            <v>32939</v>
          </cell>
        </row>
        <row r="1990">
          <cell r="P1990">
            <v>0</v>
          </cell>
          <cell r="S1990" t="str">
            <v xml:space="preserve">32939 </v>
          </cell>
          <cell r="AA1990">
            <v>32939</v>
          </cell>
        </row>
        <row r="1991">
          <cell r="P1991">
            <v>0</v>
          </cell>
          <cell r="S1991" t="str">
            <v xml:space="preserve">32939 </v>
          </cell>
          <cell r="AA1991">
            <v>32939</v>
          </cell>
        </row>
        <row r="1992">
          <cell r="P1992">
            <v>0</v>
          </cell>
          <cell r="S1992" t="str">
            <v xml:space="preserve">32939 </v>
          </cell>
          <cell r="AA1992">
            <v>32939</v>
          </cell>
        </row>
        <row r="1993">
          <cell r="P1993">
            <v>0</v>
          </cell>
          <cell r="S1993" t="str">
            <v xml:space="preserve">32939 </v>
          </cell>
          <cell r="AA1993">
            <v>32939</v>
          </cell>
        </row>
        <row r="1994">
          <cell r="P1994">
            <v>0</v>
          </cell>
          <cell r="S1994" t="str">
            <v xml:space="preserve">32939 </v>
          </cell>
          <cell r="AA1994">
            <v>32939</v>
          </cell>
        </row>
        <row r="1995">
          <cell r="P1995">
            <v>0</v>
          </cell>
          <cell r="S1995" t="str">
            <v xml:space="preserve">32939 </v>
          </cell>
          <cell r="AA1995">
            <v>32939</v>
          </cell>
        </row>
        <row r="1996">
          <cell r="P1996">
            <v>0</v>
          </cell>
          <cell r="S1996" t="str">
            <v xml:space="preserve">32939 </v>
          </cell>
          <cell r="AA1996">
            <v>32939</v>
          </cell>
        </row>
        <row r="1997">
          <cell r="P1997">
            <v>0</v>
          </cell>
          <cell r="S1997" t="str">
            <v xml:space="preserve">32939 </v>
          </cell>
          <cell r="AA1997">
            <v>32939</v>
          </cell>
        </row>
        <row r="1998">
          <cell r="P1998">
            <v>0</v>
          </cell>
          <cell r="S1998" t="str">
            <v xml:space="preserve">32939 </v>
          </cell>
          <cell r="AA1998">
            <v>32939</v>
          </cell>
        </row>
        <row r="1999">
          <cell r="P1999">
            <v>0</v>
          </cell>
          <cell r="S1999" t="str">
            <v xml:space="preserve">32939 </v>
          </cell>
          <cell r="AA1999">
            <v>32939</v>
          </cell>
        </row>
        <row r="2000">
          <cell r="P2000">
            <v>0</v>
          </cell>
          <cell r="S2000" t="str">
            <v xml:space="preserve">32939 </v>
          </cell>
          <cell r="AA2000">
            <v>32939</v>
          </cell>
        </row>
        <row r="2001">
          <cell r="P2001">
            <v>0</v>
          </cell>
          <cell r="S2001" t="str">
            <v xml:space="preserve">32939 </v>
          </cell>
          <cell r="AA2001">
            <v>32939</v>
          </cell>
        </row>
        <row r="2002">
          <cell r="P2002">
            <v>0</v>
          </cell>
          <cell r="S2002" t="str">
            <v xml:space="preserve">32939 </v>
          </cell>
          <cell r="AA2002">
            <v>32939</v>
          </cell>
        </row>
        <row r="2003">
          <cell r="P2003">
            <v>0</v>
          </cell>
          <cell r="S2003" t="str">
            <v xml:space="preserve">32939 </v>
          </cell>
          <cell r="AA2003">
            <v>32939</v>
          </cell>
        </row>
        <row r="2004">
          <cell r="P2004">
            <v>0</v>
          </cell>
          <cell r="S2004" t="str">
            <v xml:space="preserve">32939 </v>
          </cell>
          <cell r="AA2004">
            <v>32939</v>
          </cell>
        </row>
        <row r="2005">
          <cell r="P2005">
            <v>0</v>
          </cell>
          <cell r="S2005" t="str">
            <v xml:space="preserve">32939 </v>
          </cell>
          <cell r="AA2005">
            <v>32939</v>
          </cell>
        </row>
        <row r="2006">
          <cell r="P2006">
            <v>0</v>
          </cell>
          <cell r="S2006" t="str">
            <v xml:space="preserve">32939 </v>
          </cell>
          <cell r="AA2006">
            <v>32939</v>
          </cell>
        </row>
        <row r="2007">
          <cell r="P2007">
            <v>0</v>
          </cell>
          <cell r="S2007" t="str">
            <v xml:space="preserve">32939 </v>
          </cell>
          <cell r="AA2007">
            <v>32939</v>
          </cell>
        </row>
        <row r="2008">
          <cell r="P2008">
            <v>0</v>
          </cell>
          <cell r="S2008" t="str">
            <v xml:space="preserve">32939 </v>
          </cell>
          <cell r="AA2008">
            <v>32939</v>
          </cell>
        </row>
        <row r="2009">
          <cell r="P2009">
            <v>0</v>
          </cell>
          <cell r="S2009" t="str">
            <v xml:space="preserve">32939 </v>
          </cell>
          <cell r="AA2009">
            <v>32939</v>
          </cell>
        </row>
        <row r="2010">
          <cell r="P2010">
            <v>0</v>
          </cell>
          <cell r="S2010" t="str">
            <v xml:space="preserve">32939 </v>
          </cell>
          <cell r="AA2010">
            <v>32939</v>
          </cell>
        </row>
        <row r="2011">
          <cell r="P2011">
            <v>0</v>
          </cell>
          <cell r="S2011" t="str">
            <v xml:space="preserve">32939 </v>
          </cell>
          <cell r="AA2011">
            <v>32939</v>
          </cell>
        </row>
        <row r="2012">
          <cell r="P2012">
            <v>0</v>
          </cell>
          <cell r="S2012" t="str">
            <v xml:space="preserve">32939 </v>
          </cell>
          <cell r="AA2012">
            <v>32939</v>
          </cell>
        </row>
        <row r="2013">
          <cell r="P2013">
            <v>0</v>
          </cell>
          <cell r="S2013" t="str">
            <v xml:space="preserve">32939 </v>
          </cell>
          <cell r="AA2013">
            <v>32939</v>
          </cell>
        </row>
        <row r="2014">
          <cell r="P2014">
            <v>0</v>
          </cell>
          <cell r="S2014" t="str">
            <v xml:space="preserve">32939 </v>
          </cell>
          <cell r="AA2014">
            <v>32939</v>
          </cell>
        </row>
        <row r="2015">
          <cell r="P2015">
            <v>0</v>
          </cell>
          <cell r="S2015" t="str">
            <v xml:space="preserve">32939 </v>
          </cell>
          <cell r="AA2015">
            <v>32939</v>
          </cell>
        </row>
        <row r="2016">
          <cell r="P2016">
            <v>0</v>
          </cell>
          <cell r="S2016" t="str">
            <v xml:space="preserve">32939 </v>
          </cell>
          <cell r="AA2016">
            <v>32939</v>
          </cell>
        </row>
        <row r="2017">
          <cell r="P2017">
            <v>0</v>
          </cell>
          <cell r="S2017" t="str">
            <v xml:space="preserve">32939 </v>
          </cell>
          <cell r="AA2017">
            <v>32939</v>
          </cell>
        </row>
        <row r="2018">
          <cell r="P2018">
            <v>0</v>
          </cell>
          <cell r="S2018" t="str">
            <v xml:space="preserve">32939 </v>
          </cell>
          <cell r="AA2018">
            <v>32939</v>
          </cell>
        </row>
        <row r="2019">
          <cell r="P2019">
            <v>0</v>
          </cell>
          <cell r="S2019" t="str">
            <v xml:space="preserve">32939 </v>
          </cell>
          <cell r="AA2019">
            <v>32939</v>
          </cell>
        </row>
        <row r="2020">
          <cell r="P2020">
            <v>0</v>
          </cell>
          <cell r="S2020" t="str">
            <v xml:space="preserve">32939 </v>
          </cell>
          <cell r="AA2020">
            <v>32939</v>
          </cell>
        </row>
        <row r="2021">
          <cell r="P2021">
            <v>0</v>
          </cell>
          <cell r="S2021" t="str">
            <v xml:space="preserve">32939 </v>
          </cell>
          <cell r="AA2021">
            <v>32939</v>
          </cell>
        </row>
        <row r="2022">
          <cell r="P2022">
            <v>0</v>
          </cell>
          <cell r="S2022" t="str">
            <v xml:space="preserve">32939 </v>
          </cell>
          <cell r="AA2022">
            <v>32939</v>
          </cell>
        </row>
        <row r="2023">
          <cell r="P2023">
            <v>0</v>
          </cell>
          <cell r="S2023" t="str">
            <v xml:space="preserve">32939 </v>
          </cell>
          <cell r="AA2023">
            <v>32939</v>
          </cell>
        </row>
        <row r="2024">
          <cell r="P2024">
            <v>0</v>
          </cell>
          <cell r="S2024" t="str">
            <v xml:space="preserve">32939 </v>
          </cell>
          <cell r="AA2024">
            <v>32939</v>
          </cell>
        </row>
        <row r="2025">
          <cell r="P2025">
            <v>0</v>
          </cell>
          <cell r="S2025" t="str">
            <v xml:space="preserve">32939 </v>
          </cell>
          <cell r="AA2025">
            <v>32939</v>
          </cell>
        </row>
        <row r="2026">
          <cell r="P2026">
            <v>0</v>
          </cell>
          <cell r="S2026" t="str">
            <v xml:space="preserve">32939 </v>
          </cell>
          <cell r="AA2026">
            <v>32939</v>
          </cell>
        </row>
        <row r="2027">
          <cell r="P2027">
            <v>0</v>
          </cell>
          <cell r="S2027" t="str">
            <v xml:space="preserve">32939 </v>
          </cell>
          <cell r="AA2027">
            <v>32939</v>
          </cell>
        </row>
        <row r="2028">
          <cell r="P2028">
            <v>0</v>
          </cell>
          <cell r="S2028" t="str">
            <v xml:space="preserve">32939 </v>
          </cell>
          <cell r="AA2028">
            <v>32939</v>
          </cell>
        </row>
        <row r="2029">
          <cell r="P2029">
            <v>0</v>
          </cell>
          <cell r="S2029" t="str">
            <v xml:space="preserve">32939 </v>
          </cell>
          <cell r="AA2029">
            <v>32939</v>
          </cell>
        </row>
        <row r="2030">
          <cell r="P2030">
            <v>0</v>
          </cell>
          <cell r="S2030" t="str">
            <v xml:space="preserve">32939 </v>
          </cell>
          <cell r="AA2030">
            <v>32939</v>
          </cell>
        </row>
        <row r="2031">
          <cell r="P2031">
            <v>0</v>
          </cell>
          <cell r="S2031" t="str">
            <v xml:space="preserve">32939 </v>
          </cell>
          <cell r="AA2031">
            <v>32939</v>
          </cell>
        </row>
        <row r="2032">
          <cell r="P2032">
            <v>0</v>
          </cell>
          <cell r="S2032" t="str">
            <v xml:space="preserve">32939 </v>
          </cell>
          <cell r="AA2032">
            <v>32939</v>
          </cell>
        </row>
        <row r="2033">
          <cell r="P2033">
            <v>0</v>
          </cell>
          <cell r="S2033" t="str">
            <v xml:space="preserve">32939 </v>
          </cell>
          <cell r="AA2033">
            <v>32939</v>
          </cell>
        </row>
        <row r="2034">
          <cell r="P2034">
            <v>0</v>
          </cell>
          <cell r="S2034" t="str">
            <v xml:space="preserve">32939 </v>
          </cell>
          <cell r="AA2034">
            <v>32939</v>
          </cell>
        </row>
        <row r="2035">
          <cell r="P2035">
            <v>0</v>
          </cell>
          <cell r="S2035" t="str">
            <v xml:space="preserve">32939 </v>
          </cell>
          <cell r="AA2035">
            <v>32939</v>
          </cell>
        </row>
        <row r="2036">
          <cell r="P2036">
            <v>0</v>
          </cell>
          <cell r="S2036" t="str">
            <v xml:space="preserve">32939 </v>
          </cell>
          <cell r="AA2036">
            <v>32939</v>
          </cell>
        </row>
        <row r="2037">
          <cell r="P2037">
            <v>0</v>
          </cell>
          <cell r="S2037" t="str">
            <v xml:space="preserve">32939 </v>
          </cell>
          <cell r="AA2037">
            <v>32939</v>
          </cell>
        </row>
        <row r="2038">
          <cell r="P2038">
            <v>0</v>
          </cell>
          <cell r="S2038" t="str">
            <v xml:space="preserve">32939 </v>
          </cell>
          <cell r="AA2038">
            <v>32939</v>
          </cell>
        </row>
        <row r="2039">
          <cell r="P2039">
            <v>0</v>
          </cell>
          <cell r="S2039" t="str">
            <v xml:space="preserve">32939 </v>
          </cell>
          <cell r="AA2039">
            <v>32939</v>
          </cell>
        </row>
        <row r="2040">
          <cell r="P2040">
            <v>0</v>
          </cell>
          <cell r="S2040" t="str">
            <v xml:space="preserve">32939 </v>
          </cell>
          <cell r="AA2040">
            <v>32939</v>
          </cell>
        </row>
        <row r="2041">
          <cell r="P2041">
            <v>0</v>
          </cell>
          <cell r="S2041" t="str">
            <v xml:space="preserve">32939 </v>
          </cell>
          <cell r="AA2041">
            <v>32939</v>
          </cell>
        </row>
        <row r="2042">
          <cell r="P2042">
            <v>0</v>
          </cell>
          <cell r="S2042" t="str">
            <v xml:space="preserve">32939 </v>
          </cell>
          <cell r="AA2042">
            <v>32939</v>
          </cell>
        </row>
        <row r="2043">
          <cell r="P2043">
            <v>0</v>
          </cell>
          <cell r="S2043" t="str">
            <v xml:space="preserve">32939 </v>
          </cell>
          <cell r="AA2043">
            <v>32939</v>
          </cell>
        </row>
        <row r="2044">
          <cell r="P2044">
            <v>0</v>
          </cell>
          <cell r="S2044" t="str">
            <v xml:space="preserve">32939 </v>
          </cell>
          <cell r="AA2044">
            <v>32939</v>
          </cell>
        </row>
        <row r="2045">
          <cell r="P2045">
            <v>0</v>
          </cell>
          <cell r="S2045" t="str">
            <v xml:space="preserve">32939 </v>
          </cell>
          <cell r="AA2045">
            <v>32939</v>
          </cell>
        </row>
        <row r="2046">
          <cell r="P2046">
            <v>0</v>
          </cell>
          <cell r="S2046" t="str">
            <v xml:space="preserve">32939 </v>
          </cell>
          <cell r="AA2046">
            <v>32939</v>
          </cell>
        </row>
        <row r="2047">
          <cell r="P2047">
            <v>0</v>
          </cell>
          <cell r="S2047" t="str">
            <v xml:space="preserve">32939 </v>
          </cell>
          <cell r="AA2047">
            <v>32939</v>
          </cell>
        </row>
        <row r="2048">
          <cell r="P2048">
            <v>0</v>
          </cell>
          <cell r="S2048" t="str">
            <v xml:space="preserve">32939 </v>
          </cell>
          <cell r="AA2048">
            <v>32939</v>
          </cell>
        </row>
        <row r="2049">
          <cell r="P2049">
            <v>0</v>
          </cell>
          <cell r="S2049" t="str">
            <v xml:space="preserve">32939 </v>
          </cell>
          <cell r="AA2049">
            <v>32939</v>
          </cell>
        </row>
        <row r="2050">
          <cell r="P2050">
            <v>0</v>
          </cell>
          <cell r="S2050" t="str">
            <v xml:space="preserve">32939 </v>
          </cell>
          <cell r="AA2050">
            <v>32939</v>
          </cell>
        </row>
        <row r="2051">
          <cell r="P2051">
            <v>0</v>
          </cell>
          <cell r="S2051" t="str">
            <v xml:space="preserve">32939 </v>
          </cell>
          <cell r="AA2051">
            <v>32939</v>
          </cell>
        </row>
        <row r="2052">
          <cell r="P2052">
            <v>0</v>
          </cell>
          <cell r="S2052" t="str">
            <v xml:space="preserve">32939 </v>
          </cell>
          <cell r="AA2052">
            <v>32939</v>
          </cell>
        </row>
        <row r="2053">
          <cell r="P2053">
            <v>0</v>
          </cell>
          <cell r="S2053" t="str">
            <v xml:space="preserve">32939 </v>
          </cell>
          <cell r="AA2053">
            <v>32939</v>
          </cell>
        </row>
        <row r="2054">
          <cell r="P2054">
            <v>0</v>
          </cell>
          <cell r="S2054" t="str">
            <v xml:space="preserve">32939 </v>
          </cell>
          <cell r="AA2054">
            <v>32939</v>
          </cell>
        </row>
        <row r="2055">
          <cell r="P2055">
            <v>0</v>
          </cell>
          <cell r="S2055" t="str">
            <v xml:space="preserve">32939 </v>
          </cell>
          <cell r="AA2055">
            <v>32939</v>
          </cell>
        </row>
        <row r="2056">
          <cell r="P2056">
            <v>0</v>
          </cell>
          <cell r="S2056" t="str">
            <v xml:space="preserve">32939 </v>
          </cell>
          <cell r="AA2056">
            <v>32939</v>
          </cell>
        </row>
        <row r="2057">
          <cell r="P2057">
            <v>0</v>
          </cell>
          <cell r="S2057" t="str">
            <v xml:space="preserve">32939 </v>
          </cell>
          <cell r="AA2057">
            <v>32939</v>
          </cell>
        </row>
        <row r="2058">
          <cell r="P2058">
            <v>0</v>
          </cell>
          <cell r="S2058" t="str">
            <v xml:space="preserve">32939 </v>
          </cell>
          <cell r="AA2058">
            <v>32939</v>
          </cell>
        </row>
        <row r="2059">
          <cell r="P2059">
            <v>0</v>
          </cell>
          <cell r="S2059" t="str">
            <v xml:space="preserve">32939 </v>
          </cell>
          <cell r="AA2059">
            <v>32939</v>
          </cell>
        </row>
        <row r="2060">
          <cell r="P2060">
            <v>0</v>
          </cell>
          <cell r="S2060" t="str">
            <v xml:space="preserve">32939 </v>
          </cell>
          <cell r="AA2060">
            <v>32939</v>
          </cell>
        </row>
        <row r="2061">
          <cell r="P2061">
            <v>0</v>
          </cell>
          <cell r="S2061" t="str">
            <v xml:space="preserve">32939 </v>
          </cell>
          <cell r="AA2061">
            <v>32939</v>
          </cell>
        </row>
        <row r="2062">
          <cell r="P2062">
            <v>0</v>
          </cell>
          <cell r="S2062" t="str">
            <v xml:space="preserve">32939 </v>
          </cell>
          <cell r="AA2062">
            <v>32939</v>
          </cell>
        </row>
        <row r="2063">
          <cell r="P2063">
            <v>0</v>
          </cell>
          <cell r="S2063" t="str">
            <v xml:space="preserve">32939 </v>
          </cell>
          <cell r="AA2063">
            <v>32939</v>
          </cell>
        </row>
        <row r="2064">
          <cell r="P2064">
            <v>0</v>
          </cell>
          <cell r="S2064" t="str">
            <v xml:space="preserve">32939 </v>
          </cell>
          <cell r="AA2064">
            <v>32939</v>
          </cell>
        </row>
        <row r="2065">
          <cell r="P2065">
            <v>0</v>
          </cell>
          <cell r="S2065" t="str">
            <v xml:space="preserve">32939 </v>
          </cell>
          <cell r="AA2065">
            <v>32939</v>
          </cell>
        </row>
        <row r="2066">
          <cell r="P2066">
            <v>0</v>
          </cell>
          <cell r="S2066" t="str">
            <v xml:space="preserve">32939 </v>
          </cell>
          <cell r="AA2066">
            <v>32939</v>
          </cell>
        </row>
        <row r="2067">
          <cell r="P2067">
            <v>0</v>
          </cell>
          <cell r="S2067" t="str">
            <v xml:space="preserve">32939 </v>
          </cell>
          <cell r="AA2067">
            <v>32939</v>
          </cell>
        </row>
        <row r="2068">
          <cell r="P2068">
            <v>0</v>
          </cell>
          <cell r="S2068" t="str">
            <v xml:space="preserve">32939 </v>
          </cell>
          <cell r="AA2068">
            <v>32939</v>
          </cell>
        </row>
        <row r="2069">
          <cell r="P2069">
            <v>0</v>
          </cell>
          <cell r="S2069" t="str">
            <v xml:space="preserve">32939 </v>
          </cell>
          <cell r="AA2069">
            <v>32939</v>
          </cell>
        </row>
        <row r="2070">
          <cell r="P2070">
            <v>0</v>
          </cell>
          <cell r="S2070" t="str">
            <v xml:space="preserve">32939 </v>
          </cell>
          <cell r="AA2070">
            <v>32939</v>
          </cell>
        </row>
        <row r="2071">
          <cell r="P2071">
            <v>0</v>
          </cell>
          <cell r="S2071" t="str">
            <v xml:space="preserve">32939 </v>
          </cell>
          <cell r="AA2071">
            <v>32939</v>
          </cell>
        </row>
        <row r="2072">
          <cell r="P2072">
            <v>0</v>
          </cell>
          <cell r="S2072" t="str">
            <v xml:space="preserve">32939 </v>
          </cell>
          <cell r="AA2072">
            <v>32939</v>
          </cell>
        </row>
        <row r="2073">
          <cell r="P2073">
            <v>0</v>
          </cell>
          <cell r="S2073" t="str">
            <v xml:space="preserve">32939 </v>
          </cell>
          <cell r="AA2073">
            <v>32939</v>
          </cell>
        </row>
        <row r="2074">
          <cell r="P2074">
            <v>0</v>
          </cell>
          <cell r="S2074" t="str">
            <v xml:space="preserve">32939 </v>
          </cell>
          <cell r="AA2074">
            <v>32939</v>
          </cell>
        </row>
        <row r="2075">
          <cell r="P2075">
            <v>0</v>
          </cell>
          <cell r="S2075" t="str">
            <v xml:space="preserve">32939 </v>
          </cell>
          <cell r="AA2075">
            <v>32939</v>
          </cell>
        </row>
        <row r="2076">
          <cell r="P2076">
            <v>0</v>
          </cell>
          <cell r="S2076" t="str">
            <v xml:space="preserve">32939 </v>
          </cell>
          <cell r="AA2076">
            <v>32939</v>
          </cell>
        </row>
        <row r="2077">
          <cell r="P2077">
            <v>0</v>
          </cell>
          <cell r="S2077" t="str">
            <v xml:space="preserve">32939 </v>
          </cell>
          <cell r="AA2077">
            <v>32939</v>
          </cell>
        </row>
        <row r="2078">
          <cell r="P2078">
            <v>0</v>
          </cell>
          <cell r="S2078" t="str">
            <v xml:space="preserve">32939 </v>
          </cell>
          <cell r="AA2078">
            <v>32939</v>
          </cell>
        </row>
        <row r="2079">
          <cell r="P2079">
            <v>0</v>
          </cell>
          <cell r="S2079" t="str">
            <v xml:space="preserve">32939 </v>
          </cell>
          <cell r="AA2079">
            <v>32939</v>
          </cell>
        </row>
        <row r="2080">
          <cell r="P2080">
            <v>0</v>
          </cell>
          <cell r="S2080" t="str">
            <v xml:space="preserve">32939 </v>
          </cell>
          <cell r="AA2080">
            <v>32939</v>
          </cell>
        </row>
        <row r="2081">
          <cell r="P2081">
            <v>0</v>
          </cell>
          <cell r="S2081" t="str">
            <v xml:space="preserve">32939 </v>
          </cell>
          <cell r="AA2081">
            <v>32939</v>
          </cell>
        </row>
        <row r="2082">
          <cell r="P2082">
            <v>0</v>
          </cell>
          <cell r="S2082" t="str">
            <v xml:space="preserve">32939 </v>
          </cell>
          <cell r="AA2082">
            <v>32939</v>
          </cell>
        </row>
        <row r="2083">
          <cell r="P2083">
            <v>0</v>
          </cell>
          <cell r="S2083" t="str">
            <v xml:space="preserve">32939 </v>
          </cell>
          <cell r="AA2083">
            <v>32939</v>
          </cell>
        </row>
        <row r="2084">
          <cell r="P2084">
            <v>0</v>
          </cell>
          <cell r="S2084" t="str">
            <v xml:space="preserve">32939 </v>
          </cell>
          <cell r="AA2084">
            <v>32939</v>
          </cell>
        </row>
        <row r="2085">
          <cell r="P2085">
            <v>0</v>
          </cell>
          <cell r="S2085" t="str">
            <v xml:space="preserve">32939 </v>
          </cell>
          <cell r="AA2085">
            <v>32939</v>
          </cell>
        </row>
        <row r="2086">
          <cell r="P2086">
            <v>0</v>
          </cell>
          <cell r="S2086" t="str">
            <v xml:space="preserve">32939 </v>
          </cell>
          <cell r="AA2086">
            <v>32939</v>
          </cell>
        </row>
        <row r="2087">
          <cell r="P2087">
            <v>0</v>
          </cell>
          <cell r="S2087" t="str">
            <v xml:space="preserve">32939 </v>
          </cell>
          <cell r="AA2087">
            <v>32939</v>
          </cell>
        </row>
        <row r="2088">
          <cell r="P2088">
            <v>0</v>
          </cell>
          <cell r="S2088" t="str">
            <v xml:space="preserve">32939 </v>
          </cell>
          <cell r="AA2088">
            <v>32939</v>
          </cell>
        </row>
        <row r="2089">
          <cell r="P2089">
            <v>0</v>
          </cell>
          <cell r="S2089" t="str">
            <v xml:space="preserve">32939 </v>
          </cell>
          <cell r="AA2089">
            <v>32939</v>
          </cell>
        </row>
        <row r="2090">
          <cell r="P2090">
            <v>0</v>
          </cell>
          <cell r="S2090" t="str">
            <v xml:space="preserve">32939 </v>
          </cell>
          <cell r="AA2090">
            <v>32939</v>
          </cell>
        </row>
        <row r="2091">
          <cell r="P2091">
            <v>0</v>
          </cell>
          <cell r="S2091" t="str">
            <v xml:space="preserve">32939 </v>
          </cell>
          <cell r="AA2091">
            <v>32939</v>
          </cell>
        </row>
        <row r="2092">
          <cell r="P2092">
            <v>0</v>
          </cell>
          <cell r="S2092" t="str">
            <v xml:space="preserve">32939 </v>
          </cell>
          <cell r="AA2092">
            <v>32939</v>
          </cell>
        </row>
        <row r="2093">
          <cell r="P2093">
            <v>0</v>
          </cell>
          <cell r="S2093" t="str">
            <v xml:space="preserve">32939 </v>
          </cell>
          <cell r="AA2093">
            <v>32939</v>
          </cell>
        </row>
        <row r="2094">
          <cell r="P2094">
            <v>0</v>
          </cell>
          <cell r="S2094" t="str">
            <v xml:space="preserve">32939 </v>
          </cell>
          <cell r="AA2094">
            <v>32939</v>
          </cell>
        </row>
        <row r="2095">
          <cell r="P2095">
            <v>0</v>
          </cell>
          <cell r="S2095" t="str">
            <v xml:space="preserve">32939 </v>
          </cell>
          <cell r="AA2095">
            <v>32939</v>
          </cell>
        </row>
        <row r="2096">
          <cell r="P2096">
            <v>0</v>
          </cell>
          <cell r="S2096" t="str">
            <v xml:space="preserve">32939 </v>
          </cell>
          <cell r="AA2096">
            <v>32939</v>
          </cell>
        </row>
        <row r="2097">
          <cell r="P2097">
            <v>0</v>
          </cell>
          <cell r="S2097" t="str">
            <v xml:space="preserve">32939 </v>
          </cell>
          <cell r="AA2097">
            <v>32939</v>
          </cell>
        </row>
        <row r="2098">
          <cell r="P2098">
            <v>0</v>
          </cell>
          <cell r="S2098" t="str">
            <v xml:space="preserve">32939 </v>
          </cell>
          <cell r="AA2098">
            <v>32939</v>
          </cell>
        </row>
        <row r="2099">
          <cell r="P2099">
            <v>0</v>
          </cell>
          <cell r="S2099" t="str">
            <v xml:space="preserve">32939 </v>
          </cell>
          <cell r="AA2099">
            <v>32939</v>
          </cell>
        </row>
        <row r="2100">
          <cell r="P2100">
            <v>0</v>
          </cell>
          <cell r="S2100" t="str">
            <v xml:space="preserve">32939 </v>
          </cell>
          <cell r="AA2100">
            <v>32939</v>
          </cell>
        </row>
        <row r="2101">
          <cell r="P2101">
            <v>0</v>
          </cell>
          <cell r="S2101" t="str">
            <v xml:space="preserve">32939 </v>
          </cell>
          <cell r="AA2101">
            <v>32939</v>
          </cell>
        </row>
        <row r="2102">
          <cell r="P2102">
            <v>0</v>
          </cell>
          <cell r="S2102" t="str">
            <v xml:space="preserve">32939 </v>
          </cell>
          <cell r="AA2102">
            <v>32939</v>
          </cell>
        </row>
        <row r="2103">
          <cell r="P2103">
            <v>0</v>
          </cell>
          <cell r="S2103" t="str">
            <v xml:space="preserve">32939 </v>
          </cell>
          <cell r="AA2103">
            <v>32939</v>
          </cell>
        </row>
        <row r="2104">
          <cell r="P2104">
            <v>0</v>
          </cell>
          <cell r="S2104" t="str">
            <v xml:space="preserve">32939 </v>
          </cell>
          <cell r="AA2104">
            <v>32939</v>
          </cell>
        </row>
        <row r="2105">
          <cell r="P2105">
            <v>0</v>
          </cell>
          <cell r="S2105" t="str">
            <v xml:space="preserve">32939 </v>
          </cell>
          <cell r="AA2105">
            <v>32939</v>
          </cell>
        </row>
        <row r="2106">
          <cell r="P2106">
            <v>0</v>
          </cell>
          <cell r="S2106" t="str">
            <v xml:space="preserve">32939 </v>
          </cell>
          <cell r="AA2106">
            <v>32939</v>
          </cell>
        </row>
        <row r="2107">
          <cell r="P2107">
            <v>0</v>
          </cell>
          <cell r="S2107" t="str">
            <v xml:space="preserve">32939 </v>
          </cell>
          <cell r="AA2107">
            <v>32939</v>
          </cell>
        </row>
        <row r="2108">
          <cell r="P2108">
            <v>0</v>
          </cell>
          <cell r="S2108" t="str">
            <v xml:space="preserve">32939 </v>
          </cell>
          <cell r="AA2108">
            <v>32939</v>
          </cell>
        </row>
        <row r="2109">
          <cell r="P2109">
            <v>0</v>
          </cell>
          <cell r="S2109" t="str">
            <v xml:space="preserve">32939 </v>
          </cell>
          <cell r="AA2109">
            <v>32939</v>
          </cell>
        </row>
        <row r="2110">
          <cell r="P2110">
            <v>0</v>
          </cell>
          <cell r="S2110" t="str">
            <v xml:space="preserve">32939 </v>
          </cell>
          <cell r="AA2110">
            <v>32939</v>
          </cell>
        </row>
        <row r="2111">
          <cell r="P2111">
            <v>0</v>
          </cell>
          <cell r="S2111" t="str">
            <v xml:space="preserve">32939 </v>
          </cell>
          <cell r="AA2111">
            <v>32939</v>
          </cell>
        </row>
        <row r="2112">
          <cell r="P2112">
            <v>0</v>
          </cell>
          <cell r="S2112" t="str">
            <v xml:space="preserve">32939 </v>
          </cell>
          <cell r="AA2112">
            <v>32939</v>
          </cell>
        </row>
        <row r="2113">
          <cell r="P2113">
            <v>0</v>
          </cell>
          <cell r="S2113" t="str">
            <v xml:space="preserve">32939 </v>
          </cell>
          <cell r="AA2113">
            <v>32939</v>
          </cell>
        </row>
        <row r="2114">
          <cell r="P2114">
            <v>0</v>
          </cell>
          <cell r="S2114" t="str">
            <v xml:space="preserve">32939 </v>
          </cell>
          <cell r="AA2114">
            <v>32939</v>
          </cell>
        </row>
        <row r="2115">
          <cell r="P2115">
            <v>0</v>
          </cell>
          <cell r="S2115" t="str">
            <v xml:space="preserve">32939 </v>
          </cell>
          <cell r="AA2115">
            <v>32939</v>
          </cell>
        </row>
        <row r="2116">
          <cell r="P2116">
            <v>0</v>
          </cell>
          <cell r="S2116" t="str">
            <v xml:space="preserve">32939 </v>
          </cell>
          <cell r="AA2116">
            <v>32939</v>
          </cell>
        </row>
        <row r="2117">
          <cell r="P2117">
            <v>0</v>
          </cell>
          <cell r="S2117" t="str">
            <v xml:space="preserve">32939 </v>
          </cell>
          <cell r="AA2117">
            <v>32939</v>
          </cell>
        </row>
        <row r="2118">
          <cell r="P2118">
            <v>0</v>
          </cell>
          <cell r="S2118" t="str">
            <v xml:space="preserve">32939 </v>
          </cell>
          <cell r="AA2118">
            <v>32939</v>
          </cell>
        </row>
        <row r="2119">
          <cell r="P2119">
            <v>0</v>
          </cell>
          <cell r="S2119" t="str">
            <v xml:space="preserve">32939 </v>
          </cell>
          <cell r="AA2119">
            <v>32939</v>
          </cell>
        </row>
        <row r="2120">
          <cell r="P2120">
            <v>0</v>
          </cell>
          <cell r="S2120" t="str">
            <v xml:space="preserve">32939 </v>
          </cell>
          <cell r="AA2120">
            <v>32939</v>
          </cell>
        </row>
        <row r="2121">
          <cell r="P2121">
            <v>0</v>
          </cell>
          <cell r="S2121" t="str">
            <v xml:space="preserve">32939 </v>
          </cell>
          <cell r="AA2121">
            <v>32939</v>
          </cell>
        </row>
        <row r="2122">
          <cell r="P2122">
            <v>0</v>
          </cell>
          <cell r="S2122" t="str">
            <v xml:space="preserve">32939 </v>
          </cell>
          <cell r="AA2122">
            <v>32939</v>
          </cell>
        </row>
        <row r="2123">
          <cell r="P2123">
            <v>0</v>
          </cell>
          <cell r="S2123" t="str">
            <v xml:space="preserve">32939 </v>
          </cell>
          <cell r="AA2123">
            <v>32939</v>
          </cell>
        </row>
        <row r="2124">
          <cell r="P2124">
            <v>0</v>
          </cell>
          <cell r="S2124" t="str">
            <v xml:space="preserve">32939 </v>
          </cell>
          <cell r="AA2124">
            <v>32939</v>
          </cell>
        </row>
        <row r="2125">
          <cell r="P2125">
            <v>0</v>
          </cell>
          <cell r="S2125" t="str">
            <v xml:space="preserve">32939 </v>
          </cell>
          <cell r="AA2125">
            <v>32939</v>
          </cell>
        </row>
        <row r="2126">
          <cell r="P2126">
            <v>0</v>
          </cell>
          <cell r="S2126" t="str">
            <v xml:space="preserve">32939 </v>
          </cell>
          <cell r="AA2126">
            <v>32939</v>
          </cell>
        </row>
        <row r="2127">
          <cell r="P2127">
            <v>0</v>
          </cell>
          <cell r="S2127" t="str">
            <v xml:space="preserve">32939 </v>
          </cell>
          <cell r="AA2127">
            <v>32939</v>
          </cell>
        </row>
        <row r="2128">
          <cell r="P2128">
            <v>0</v>
          </cell>
          <cell r="S2128" t="str">
            <v xml:space="preserve">32939 </v>
          </cell>
          <cell r="AA2128">
            <v>32939</v>
          </cell>
        </row>
        <row r="2129">
          <cell r="P2129">
            <v>0</v>
          </cell>
          <cell r="S2129" t="str">
            <v xml:space="preserve">32939 </v>
          </cell>
          <cell r="AA2129">
            <v>32939</v>
          </cell>
        </row>
        <row r="2130">
          <cell r="P2130">
            <v>0</v>
          </cell>
          <cell r="S2130" t="str">
            <v xml:space="preserve">32939 </v>
          </cell>
          <cell r="AA2130">
            <v>32939</v>
          </cell>
        </row>
        <row r="2131">
          <cell r="P2131">
            <v>0</v>
          </cell>
          <cell r="S2131" t="str">
            <v xml:space="preserve">32939 </v>
          </cell>
          <cell r="AA2131">
            <v>32939</v>
          </cell>
        </row>
        <row r="2132">
          <cell r="P2132">
            <v>0</v>
          </cell>
          <cell r="S2132" t="str">
            <v xml:space="preserve">32939 </v>
          </cell>
          <cell r="AA2132">
            <v>32939</v>
          </cell>
        </row>
        <row r="2133">
          <cell r="P2133">
            <v>0</v>
          </cell>
          <cell r="S2133" t="str">
            <v xml:space="preserve">32939 </v>
          </cell>
          <cell r="AA2133">
            <v>32939</v>
          </cell>
        </row>
        <row r="2134">
          <cell r="P2134">
            <v>0</v>
          </cell>
          <cell r="S2134" t="str">
            <v xml:space="preserve">32939 </v>
          </cell>
          <cell r="AA2134">
            <v>32939</v>
          </cell>
        </row>
        <row r="2135">
          <cell r="P2135">
            <v>0</v>
          </cell>
          <cell r="S2135" t="str">
            <v xml:space="preserve">32939 </v>
          </cell>
          <cell r="AA2135">
            <v>32939</v>
          </cell>
        </row>
        <row r="2136">
          <cell r="P2136">
            <v>0</v>
          </cell>
          <cell r="S2136" t="str">
            <v xml:space="preserve">32939 </v>
          </cell>
          <cell r="AA2136">
            <v>32939</v>
          </cell>
        </row>
        <row r="2137">
          <cell r="P2137">
            <v>0</v>
          </cell>
          <cell r="S2137" t="str">
            <v xml:space="preserve">32939 </v>
          </cell>
          <cell r="AA2137">
            <v>32939</v>
          </cell>
        </row>
        <row r="2138">
          <cell r="P2138">
            <v>0</v>
          </cell>
          <cell r="S2138" t="str">
            <v xml:space="preserve">32939 </v>
          </cell>
          <cell r="AA2138">
            <v>32939</v>
          </cell>
        </row>
        <row r="2139">
          <cell r="P2139">
            <v>0</v>
          </cell>
          <cell r="S2139" t="str">
            <v xml:space="preserve">32939 </v>
          </cell>
          <cell r="AA2139">
            <v>32939</v>
          </cell>
        </row>
        <row r="2140">
          <cell r="P2140">
            <v>0</v>
          </cell>
          <cell r="S2140" t="str">
            <v xml:space="preserve">32939 </v>
          </cell>
          <cell r="AA2140">
            <v>32939</v>
          </cell>
        </row>
        <row r="2141">
          <cell r="P2141">
            <v>0</v>
          </cell>
          <cell r="S2141" t="str">
            <v xml:space="preserve">32939 </v>
          </cell>
          <cell r="AA2141">
            <v>32939</v>
          </cell>
        </row>
        <row r="2142">
          <cell r="P2142">
            <v>0</v>
          </cell>
          <cell r="S2142" t="str">
            <v xml:space="preserve">32939 </v>
          </cell>
          <cell r="AA2142">
            <v>32939</v>
          </cell>
        </row>
        <row r="2143">
          <cell r="P2143">
            <v>0</v>
          </cell>
          <cell r="S2143" t="str">
            <v xml:space="preserve">32939 </v>
          </cell>
          <cell r="AA2143">
            <v>32939</v>
          </cell>
        </row>
        <row r="2144">
          <cell r="P2144">
            <v>0</v>
          </cell>
          <cell r="S2144" t="str">
            <v xml:space="preserve">32939 </v>
          </cell>
          <cell r="AA2144">
            <v>32939</v>
          </cell>
        </row>
        <row r="2145">
          <cell r="P2145">
            <v>0</v>
          </cell>
          <cell r="S2145" t="str">
            <v xml:space="preserve">32939 </v>
          </cell>
          <cell r="AA2145">
            <v>32939</v>
          </cell>
        </row>
        <row r="2146">
          <cell r="P2146">
            <v>0</v>
          </cell>
          <cell r="S2146" t="str">
            <v xml:space="preserve">32939 </v>
          </cell>
          <cell r="AA2146">
            <v>32939</v>
          </cell>
        </row>
        <row r="2147">
          <cell r="P2147">
            <v>0</v>
          </cell>
          <cell r="S2147" t="str">
            <v xml:space="preserve">32939 </v>
          </cell>
          <cell r="AA2147">
            <v>32939</v>
          </cell>
        </row>
        <row r="2148">
          <cell r="P2148">
            <v>0</v>
          </cell>
          <cell r="S2148" t="str">
            <v xml:space="preserve">32939 </v>
          </cell>
          <cell r="AA2148">
            <v>32939</v>
          </cell>
        </row>
        <row r="2149">
          <cell r="P2149">
            <v>0</v>
          </cell>
          <cell r="S2149" t="str">
            <v xml:space="preserve">32939 </v>
          </cell>
          <cell r="AA2149">
            <v>32939</v>
          </cell>
        </row>
        <row r="2150">
          <cell r="P2150">
            <v>0</v>
          </cell>
          <cell r="S2150" t="str">
            <v xml:space="preserve">32939 </v>
          </cell>
          <cell r="AA2150">
            <v>32939</v>
          </cell>
        </row>
        <row r="2151">
          <cell r="P2151">
            <v>0</v>
          </cell>
          <cell r="S2151" t="str">
            <v xml:space="preserve">32939 </v>
          </cell>
          <cell r="AA2151">
            <v>32939</v>
          </cell>
        </row>
        <row r="2152">
          <cell r="P2152">
            <v>0</v>
          </cell>
          <cell r="S2152" t="str">
            <v xml:space="preserve">32939 </v>
          </cell>
          <cell r="AA2152">
            <v>32939</v>
          </cell>
        </row>
        <row r="2153">
          <cell r="P2153">
            <v>0</v>
          </cell>
          <cell r="S2153" t="str">
            <v xml:space="preserve">32939 </v>
          </cell>
          <cell r="AA2153">
            <v>32939</v>
          </cell>
        </row>
        <row r="2154">
          <cell r="P2154">
            <v>0</v>
          </cell>
          <cell r="S2154" t="str">
            <v xml:space="preserve">32939 </v>
          </cell>
          <cell r="AA2154">
            <v>32939</v>
          </cell>
        </row>
        <row r="2155">
          <cell r="P2155">
            <v>0</v>
          </cell>
          <cell r="S2155" t="str">
            <v xml:space="preserve">32939 </v>
          </cell>
          <cell r="AA2155">
            <v>32939</v>
          </cell>
        </row>
        <row r="2156">
          <cell r="P2156">
            <v>0</v>
          </cell>
          <cell r="S2156" t="str">
            <v xml:space="preserve">32939 </v>
          </cell>
          <cell r="AA2156">
            <v>32939</v>
          </cell>
        </row>
        <row r="2157">
          <cell r="P2157">
            <v>0</v>
          </cell>
          <cell r="S2157" t="str">
            <v xml:space="preserve">32939 </v>
          </cell>
          <cell r="AA2157">
            <v>32939</v>
          </cell>
        </row>
        <row r="2158">
          <cell r="P2158">
            <v>0</v>
          </cell>
          <cell r="S2158" t="str">
            <v xml:space="preserve">32939 </v>
          </cell>
          <cell r="AA2158">
            <v>32939</v>
          </cell>
        </row>
        <row r="2159">
          <cell r="P2159">
            <v>0</v>
          </cell>
          <cell r="S2159" t="str">
            <v xml:space="preserve">32939 </v>
          </cell>
          <cell r="AA2159">
            <v>32939</v>
          </cell>
        </row>
        <row r="2160">
          <cell r="P2160">
            <v>0</v>
          </cell>
          <cell r="S2160" t="str">
            <v xml:space="preserve">32939 </v>
          </cell>
          <cell r="AA2160">
            <v>32939</v>
          </cell>
        </row>
        <row r="2161">
          <cell r="P2161">
            <v>0</v>
          </cell>
          <cell r="S2161" t="str">
            <v xml:space="preserve">32939 </v>
          </cell>
          <cell r="AA2161">
            <v>32939</v>
          </cell>
        </row>
        <row r="2162">
          <cell r="P2162">
            <v>0</v>
          </cell>
          <cell r="S2162" t="str">
            <v xml:space="preserve">32939 </v>
          </cell>
          <cell r="AA2162">
            <v>32939</v>
          </cell>
        </row>
        <row r="2163">
          <cell r="P2163">
            <v>0</v>
          </cell>
          <cell r="S2163" t="str">
            <v xml:space="preserve">32939 </v>
          </cell>
          <cell r="AA2163">
            <v>32939</v>
          </cell>
        </row>
        <row r="2164">
          <cell r="P2164">
            <v>0</v>
          </cell>
          <cell r="S2164" t="str">
            <v xml:space="preserve">32939 </v>
          </cell>
          <cell r="AA2164">
            <v>32939</v>
          </cell>
        </row>
        <row r="2165">
          <cell r="P2165">
            <v>0</v>
          </cell>
          <cell r="S2165" t="str">
            <v xml:space="preserve">32939 </v>
          </cell>
          <cell r="AA2165">
            <v>32939</v>
          </cell>
        </row>
        <row r="2166">
          <cell r="P2166">
            <v>0</v>
          </cell>
          <cell r="S2166" t="str">
            <v xml:space="preserve">32939 </v>
          </cell>
          <cell r="AA2166">
            <v>32939</v>
          </cell>
        </row>
        <row r="2167">
          <cell r="P2167">
            <v>0</v>
          </cell>
          <cell r="S2167" t="str">
            <v xml:space="preserve">32939 </v>
          </cell>
          <cell r="AA2167">
            <v>32939</v>
          </cell>
        </row>
        <row r="2168">
          <cell r="P2168">
            <v>0</v>
          </cell>
          <cell r="S2168" t="str">
            <v xml:space="preserve">32939 </v>
          </cell>
          <cell r="AA2168">
            <v>32939</v>
          </cell>
        </row>
        <row r="2169">
          <cell r="P2169">
            <v>0</v>
          </cell>
          <cell r="S2169" t="str">
            <v xml:space="preserve">32939 </v>
          </cell>
          <cell r="AA2169">
            <v>32939</v>
          </cell>
        </row>
        <row r="2170">
          <cell r="P2170">
            <v>0</v>
          </cell>
          <cell r="S2170" t="str">
            <v xml:space="preserve">32939 </v>
          </cell>
          <cell r="AA2170">
            <v>32939</v>
          </cell>
        </row>
        <row r="2171">
          <cell r="P2171">
            <v>0</v>
          </cell>
          <cell r="S2171" t="str">
            <v xml:space="preserve">32939 </v>
          </cell>
          <cell r="AA2171">
            <v>32939</v>
          </cell>
        </row>
        <row r="2172">
          <cell r="P2172">
            <v>0</v>
          </cell>
          <cell r="S2172" t="str">
            <v xml:space="preserve">32939 </v>
          </cell>
          <cell r="AA2172">
            <v>32939</v>
          </cell>
        </row>
        <row r="2173">
          <cell r="P2173">
            <v>0</v>
          </cell>
          <cell r="S2173" t="str">
            <v xml:space="preserve">32939 </v>
          </cell>
          <cell r="AA2173">
            <v>32939</v>
          </cell>
        </row>
        <row r="2174">
          <cell r="P2174">
            <v>0</v>
          </cell>
          <cell r="S2174" t="str">
            <v xml:space="preserve">32939 </v>
          </cell>
          <cell r="AA2174">
            <v>32939</v>
          </cell>
        </row>
        <row r="2175">
          <cell r="P2175">
            <v>0</v>
          </cell>
          <cell r="S2175" t="str">
            <v xml:space="preserve">32939 </v>
          </cell>
          <cell r="AA2175">
            <v>32939</v>
          </cell>
        </row>
        <row r="2176">
          <cell r="P2176">
            <v>0</v>
          </cell>
          <cell r="S2176" t="str">
            <v xml:space="preserve">32939 </v>
          </cell>
          <cell r="AA2176">
            <v>32939</v>
          </cell>
        </row>
        <row r="2177">
          <cell r="P2177">
            <v>0</v>
          </cell>
          <cell r="S2177" t="str">
            <v xml:space="preserve">32939 </v>
          </cell>
          <cell r="AA2177">
            <v>32939</v>
          </cell>
        </row>
        <row r="2178">
          <cell r="P2178">
            <v>0</v>
          </cell>
          <cell r="S2178" t="str">
            <v xml:space="preserve">32939 </v>
          </cell>
          <cell r="AA2178">
            <v>32939</v>
          </cell>
        </row>
        <row r="2179">
          <cell r="P2179">
            <v>0</v>
          </cell>
          <cell r="S2179" t="str">
            <v xml:space="preserve">32939 </v>
          </cell>
          <cell r="AA2179">
            <v>32939</v>
          </cell>
        </row>
        <row r="2180">
          <cell r="P2180">
            <v>0</v>
          </cell>
          <cell r="S2180" t="str">
            <v xml:space="preserve">32939 </v>
          </cell>
          <cell r="AA2180">
            <v>32939</v>
          </cell>
        </row>
        <row r="2181">
          <cell r="P2181">
            <v>0</v>
          </cell>
          <cell r="S2181" t="str">
            <v xml:space="preserve">32939 </v>
          </cell>
          <cell r="AA2181">
            <v>32939</v>
          </cell>
        </row>
        <row r="2182">
          <cell r="P2182">
            <v>0</v>
          </cell>
          <cell r="S2182" t="str">
            <v xml:space="preserve">32939 </v>
          </cell>
          <cell r="AA2182">
            <v>32939</v>
          </cell>
        </row>
        <row r="2183">
          <cell r="P2183">
            <v>0</v>
          </cell>
          <cell r="S2183" t="str">
            <v xml:space="preserve">32939 </v>
          </cell>
          <cell r="AA2183">
            <v>32939</v>
          </cell>
        </row>
        <row r="2184">
          <cell r="P2184">
            <v>0</v>
          </cell>
          <cell r="S2184" t="str">
            <v xml:space="preserve">32939 </v>
          </cell>
          <cell r="AA2184">
            <v>32939</v>
          </cell>
        </row>
        <row r="2185">
          <cell r="P2185">
            <v>0</v>
          </cell>
          <cell r="S2185" t="str">
            <v xml:space="preserve">32939 </v>
          </cell>
          <cell r="AA2185">
            <v>32939</v>
          </cell>
        </row>
        <row r="2186">
          <cell r="P2186">
            <v>0</v>
          </cell>
          <cell r="S2186" t="str">
            <v xml:space="preserve">32939 </v>
          </cell>
          <cell r="AA2186">
            <v>32939</v>
          </cell>
        </row>
        <row r="2187">
          <cell r="P2187">
            <v>0</v>
          </cell>
          <cell r="S2187" t="str">
            <v xml:space="preserve">32939 </v>
          </cell>
          <cell r="AA2187">
            <v>32939</v>
          </cell>
        </row>
        <row r="2188">
          <cell r="P2188">
            <v>0</v>
          </cell>
          <cell r="S2188" t="str">
            <v xml:space="preserve">32939 </v>
          </cell>
          <cell r="AA2188">
            <v>32939</v>
          </cell>
        </row>
        <row r="2189">
          <cell r="P2189">
            <v>0</v>
          </cell>
          <cell r="S2189" t="str">
            <v xml:space="preserve">32939 </v>
          </cell>
          <cell r="AA2189">
            <v>32939</v>
          </cell>
        </row>
        <row r="2190">
          <cell r="P2190">
            <v>0</v>
          </cell>
          <cell r="S2190" t="str">
            <v xml:space="preserve">32939 </v>
          </cell>
          <cell r="AA2190">
            <v>32939</v>
          </cell>
        </row>
        <row r="2191">
          <cell r="P2191">
            <v>0</v>
          </cell>
          <cell r="S2191" t="str">
            <v xml:space="preserve">32939 </v>
          </cell>
          <cell r="AA2191">
            <v>32939</v>
          </cell>
        </row>
        <row r="2192">
          <cell r="P2192">
            <v>0</v>
          </cell>
          <cell r="S2192" t="str">
            <v xml:space="preserve">32939 </v>
          </cell>
          <cell r="AA2192">
            <v>32939</v>
          </cell>
        </row>
        <row r="2193">
          <cell r="P2193">
            <v>0</v>
          </cell>
          <cell r="S2193" t="str">
            <v xml:space="preserve">32939 </v>
          </cell>
          <cell r="AA2193">
            <v>32939</v>
          </cell>
        </row>
        <row r="2194">
          <cell r="P2194">
            <v>0</v>
          </cell>
          <cell r="S2194" t="str">
            <v xml:space="preserve">32939 </v>
          </cell>
          <cell r="AA2194">
            <v>32939</v>
          </cell>
        </row>
        <row r="2195">
          <cell r="P2195">
            <v>0</v>
          </cell>
          <cell r="S2195" t="str">
            <v xml:space="preserve">32939 </v>
          </cell>
          <cell r="AA2195">
            <v>32939</v>
          </cell>
        </row>
        <row r="2196">
          <cell r="P2196">
            <v>0</v>
          </cell>
          <cell r="S2196" t="str">
            <v xml:space="preserve">32939 </v>
          </cell>
          <cell r="AA2196">
            <v>32939</v>
          </cell>
        </row>
        <row r="2197">
          <cell r="P2197">
            <v>0</v>
          </cell>
          <cell r="S2197" t="str">
            <v xml:space="preserve">32939 </v>
          </cell>
          <cell r="AA2197">
            <v>32939</v>
          </cell>
        </row>
        <row r="2198">
          <cell r="P2198">
            <v>0</v>
          </cell>
          <cell r="S2198" t="str">
            <v xml:space="preserve">32939 </v>
          </cell>
          <cell r="AA2198">
            <v>32939</v>
          </cell>
        </row>
        <row r="2199">
          <cell r="P2199">
            <v>0</v>
          </cell>
          <cell r="S2199" t="str">
            <v xml:space="preserve">32939 </v>
          </cell>
          <cell r="AA2199">
            <v>32939</v>
          </cell>
        </row>
        <row r="2200">
          <cell r="P2200">
            <v>0</v>
          </cell>
          <cell r="S2200" t="str">
            <v xml:space="preserve">32939 </v>
          </cell>
          <cell r="AA2200">
            <v>32939</v>
          </cell>
        </row>
        <row r="2201">
          <cell r="P2201">
            <v>0</v>
          </cell>
          <cell r="S2201" t="str">
            <v xml:space="preserve">32939 </v>
          </cell>
          <cell r="AA2201">
            <v>32939</v>
          </cell>
        </row>
        <row r="2202">
          <cell r="P2202">
            <v>0</v>
          </cell>
          <cell r="S2202" t="str">
            <v xml:space="preserve">32939 </v>
          </cell>
          <cell r="AA2202">
            <v>32939</v>
          </cell>
        </row>
        <row r="2203">
          <cell r="P2203">
            <v>0</v>
          </cell>
          <cell r="S2203" t="str">
            <v xml:space="preserve">32939 </v>
          </cell>
          <cell r="AA2203">
            <v>32939</v>
          </cell>
        </row>
        <row r="2204">
          <cell r="P2204">
            <v>0</v>
          </cell>
          <cell r="S2204" t="str">
            <v xml:space="preserve">32939 </v>
          </cell>
          <cell r="AA2204">
            <v>32939</v>
          </cell>
        </row>
        <row r="2205">
          <cell r="P2205">
            <v>0</v>
          </cell>
          <cell r="S2205" t="str">
            <v xml:space="preserve">32939 </v>
          </cell>
          <cell r="AA2205">
            <v>32939</v>
          </cell>
        </row>
        <row r="2206">
          <cell r="P2206">
            <v>0</v>
          </cell>
          <cell r="S2206" t="str">
            <v xml:space="preserve">32939 </v>
          </cell>
          <cell r="AA2206">
            <v>32939</v>
          </cell>
        </row>
        <row r="2207">
          <cell r="P2207">
            <v>0</v>
          </cell>
          <cell r="S2207" t="str">
            <v xml:space="preserve">32939 </v>
          </cell>
          <cell r="AA2207">
            <v>32939</v>
          </cell>
        </row>
        <row r="2208">
          <cell r="P2208">
            <v>0</v>
          </cell>
          <cell r="S2208" t="str">
            <v xml:space="preserve">32939 </v>
          </cell>
          <cell r="AA2208">
            <v>32939</v>
          </cell>
        </row>
        <row r="2209">
          <cell r="P2209">
            <v>0</v>
          </cell>
          <cell r="S2209" t="str">
            <v xml:space="preserve">32939 </v>
          </cell>
          <cell r="AA2209">
            <v>32939</v>
          </cell>
        </row>
        <row r="2210">
          <cell r="P2210">
            <v>0</v>
          </cell>
          <cell r="S2210" t="str">
            <v xml:space="preserve">32939 </v>
          </cell>
          <cell r="AA2210">
            <v>32939</v>
          </cell>
        </row>
        <row r="2211">
          <cell r="P2211">
            <v>0</v>
          </cell>
          <cell r="S2211" t="str">
            <v xml:space="preserve">32939 </v>
          </cell>
          <cell r="AA2211">
            <v>32939</v>
          </cell>
        </row>
        <row r="2212">
          <cell r="P2212">
            <v>0</v>
          </cell>
          <cell r="S2212" t="str">
            <v xml:space="preserve">32939 </v>
          </cell>
          <cell r="AA2212">
            <v>32939</v>
          </cell>
        </row>
        <row r="2213">
          <cell r="P2213">
            <v>0</v>
          </cell>
          <cell r="S2213" t="str">
            <v xml:space="preserve">32939 </v>
          </cell>
          <cell r="AA2213">
            <v>32939</v>
          </cell>
        </row>
        <row r="2214">
          <cell r="P2214">
            <v>0</v>
          </cell>
          <cell r="S2214" t="str">
            <v xml:space="preserve">32939 </v>
          </cell>
          <cell r="AA2214">
            <v>32939</v>
          </cell>
        </row>
        <row r="2215">
          <cell r="P2215">
            <v>0</v>
          </cell>
          <cell r="S2215" t="str">
            <v xml:space="preserve">32939 </v>
          </cell>
          <cell r="AA2215">
            <v>32939</v>
          </cell>
        </row>
        <row r="2216">
          <cell r="P2216">
            <v>0</v>
          </cell>
          <cell r="S2216" t="str">
            <v xml:space="preserve">32939 </v>
          </cell>
          <cell r="AA2216">
            <v>32939</v>
          </cell>
        </row>
        <row r="2217">
          <cell r="P2217">
            <v>0</v>
          </cell>
          <cell r="S2217" t="str">
            <v xml:space="preserve">32939 </v>
          </cell>
          <cell r="AA2217">
            <v>32939</v>
          </cell>
        </row>
        <row r="2218">
          <cell r="P2218">
            <v>0</v>
          </cell>
          <cell r="S2218" t="str">
            <v xml:space="preserve">32939 </v>
          </cell>
          <cell r="AA2218">
            <v>32939</v>
          </cell>
        </row>
        <row r="2219">
          <cell r="P2219">
            <v>0</v>
          </cell>
          <cell r="S2219" t="str">
            <v xml:space="preserve">32939 </v>
          </cell>
          <cell r="AA2219">
            <v>32939</v>
          </cell>
        </row>
        <row r="2220">
          <cell r="P2220">
            <v>0</v>
          </cell>
          <cell r="S2220" t="str">
            <v xml:space="preserve">32939 </v>
          </cell>
          <cell r="AA2220">
            <v>32939</v>
          </cell>
        </row>
        <row r="2221">
          <cell r="P2221">
            <v>0</v>
          </cell>
          <cell r="S2221" t="str">
            <v xml:space="preserve">32939 </v>
          </cell>
          <cell r="AA2221">
            <v>32939</v>
          </cell>
        </row>
        <row r="2222">
          <cell r="P2222">
            <v>0</v>
          </cell>
          <cell r="S2222" t="str">
            <v xml:space="preserve">32939 </v>
          </cell>
          <cell r="AA2222">
            <v>32939</v>
          </cell>
        </row>
        <row r="2223">
          <cell r="P2223">
            <v>0</v>
          </cell>
          <cell r="S2223" t="str">
            <v xml:space="preserve">32939 </v>
          </cell>
          <cell r="AA2223">
            <v>32939</v>
          </cell>
        </row>
        <row r="2224">
          <cell r="P2224">
            <v>0</v>
          </cell>
          <cell r="S2224" t="str">
            <v xml:space="preserve">32939 </v>
          </cell>
          <cell r="AA2224">
            <v>32939</v>
          </cell>
        </row>
        <row r="2225">
          <cell r="P2225">
            <v>0</v>
          </cell>
          <cell r="S2225" t="str">
            <v xml:space="preserve">32939 </v>
          </cell>
          <cell r="AA2225">
            <v>32939</v>
          </cell>
        </row>
        <row r="2226">
          <cell r="P2226">
            <v>0</v>
          </cell>
          <cell r="S2226" t="str">
            <v xml:space="preserve">32939 </v>
          </cell>
          <cell r="AA2226">
            <v>32939</v>
          </cell>
        </row>
        <row r="2227">
          <cell r="P2227">
            <v>0</v>
          </cell>
          <cell r="S2227" t="str">
            <v xml:space="preserve">32939 </v>
          </cell>
          <cell r="AA2227">
            <v>32939</v>
          </cell>
        </row>
        <row r="2228">
          <cell r="P2228">
            <v>0</v>
          </cell>
          <cell r="S2228" t="str">
            <v xml:space="preserve">32939 </v>
          </cell>
          <cell r="AA2228">
            <v>32939</v>
          </cell>
        </row>
        <row r="2229">
          <cell r="P2229">
            <v>0</v>
          </cell>
          <cell r="S2229" t="str">
            <v xml:space="preserve">32939 </v>
          </cell>
          <cell r="AA2229">
            <v>32939</v>
          </cell>
        </row>
        <row r="2230">
          <cell r="P2230">
            <v>0</v>
          </cell>
          <cell r="S2230" t="str">
            <v xml:space="preserve">32939 </v>
          </cell>
          <cell r="AA2230">
            <v>32939</v>
          </cell>
        </row>
        <row r="2231">
          <cell r="P2231">
            <v>0</v>
          </cell>
          <cell r="S2231" t="str">
            <v xml:space="preserve">32939 </v>
          </cell>
          <cell r="AA2231">
            <v>32939</v>
          </cell>
        </row>
        <row r="2232">
          <cell r="P2232">
            <v>0</v>
          </cell>
          <cell r="S2232" t="str">
            <v xml:space="preserve">32939 </v>
          </cell>
          <cell r="AA2232">
            <v>32939</v>
          </cell>
        </row>
        <row r="2233">
          <cell r="P2233">
            <v>0</v>
          </cell>
          <cell r="S2233" t="str">
            <v xml:space="preserve">32939 </v>
          </cell>
          <cell r="AA2233">
            <v>32939</v>
          </cell>
        </row>
        <row r="2234">
          <cell r="P2234">
            <v>0</v>
          </cell>
          <cell r="S2234" t="str">
            <v xml:space="preserve">32939 </v>
          </cell>
          <cell r="AA2234">
            <v>32939</v>
          </cell>
        </row>
        <row r="2235">
          <cell r="P2235">
            <v>0</v>
          </cell>
          <cell r="S2235" t="str">
            <v xml:space="preserve">32939 </v>
          </cell>
          <cell r="AA2235">
            <v>32939</v>
          </cell>
        </row>
        <row r="2236">
          <cell r="P2236">
            <v>0</v>
          </cell>
          <cell r="S2236" t="str">
            <v xml:space="preserve">32939 </v>
          </cell>
          <cell r="AA2236">
            <v>32939</v>
          </cell>
        </row>
        <row r="2237">
          <cell r="P2237">
            <v>0</v>
          </cell>
          <cell r="S2237" t="str">
            <v xml:space="preserve">32939 </v>
          </cell>
          <cell r="AA2237">
            <v>32939</v>
          </cell>
        </row>
        <row r="2238">
          <cell r="P2238">
            <v>0</v>
          </cell>
          <cell r="S2238" t="str">
            <v xml:space="preserve">32939 </v>
          </cell>
          <cell r="AA2238">
            <v>32939</v>
          </cell>
        </row>
        <row r="2239">
          <cell r="P2239">
            <v>0</v>
          </cell>
          <cell r="S2239" t="str">
            <v xml:space="preserve">32939 </v>
          </cell>
          <cell r="AA2239">
            <v>32939</v>
          </cell>
        </row>
        <row r="2240">
          <cell r="P2240">
            <v>0</v>
          </cell>
          <cell r="S2240" t="str">
            <v xml:space="preserve">32939 </v>
          </cell>
          <cell r="AA2240">
            <v>32939</v>
          </cell>
        </row>
        <row r="2241">
          <cell r="P2241">
            <v>0</v>
          </cell>
          <cell r="S2241" t="str">
            <v xml:space="preserve">32939 </v>
          </cell>
          <cell r="AA2241">
            <v>32939</v>
          </cell>
        </row>
        <row r="2242">
          <cell r="P2242">
            <v>0</v>
          </cell>
          <cell r="S2242" t="str">
            <v xml:space="preserve">32939 </v>
          </cell>
          <cell r="AA2242">
            <v>32939</v>
          </cell>
        </row>
        <row r="2243">
          <cell r="P2243">
            <v>0</v>
          </cell>
          <cell r="S2243" t="str">
            <v xml:space="preserve">32939 </v>
          </cell>
          <cell r="AA2243">
            <v>32939</v>
          </cell>
        </row>
        <row r="2244">
          <cell r="P2244">
            <v>0</v>
          </cell>
          <cell r="S2244" t="str">
            <v xml:space="preserve">32939 </v>
          </cell>
          <cell r="AA2244">
            <v>32939</v>
          </cell>
        </row>
        <row r="2245">
          <cell r="P2245">
            <v>0</v>
          </cell>
          <cell r="S2245" t="str">
            <v xml:space="preserve">32939 </v>
          </cell>
          <cell r="AA2245">
            <v>32939</v>
          </cell>
        </row>
        <row r="2246">
          <cell r="P2246">
            <v>0</v>
          </cell>
          <cell r="S2246" t="str">
            <v xml:space="preserve">32939 </v>
          </cell>
          <cell r="AA2246">
            <v>32939</v>
          </cell>
        </row>
        <row r="2247">
          <cell r="P2247">
            <v>0</v>
          </cell>
          <cell r="S2247" t="str">
            <v xml:space="preserve">32939 </v>
          </cell>
          <cell r="AA2247">
            <v>32939</v>
          </cell>
        </row>
        <row r="2248">
          <cell r="P2248">
            <v>0</v>
          </cell>
          <cell r="S2248" t="str">
            <v xml:space="preserve">32939 </v>
          </cell>
          <cell r="AA2248">
            <v>32939</v>
          </cell>
        </row>
        <row r="2249">
          <cell r="P2249">
            <v>0</v>
          </cell>
          <cell r="S2249" t="str">
            <v xml:space="preserve">32939 </v>
          </cell>
          <cell r="AA2249">
            <v>32939</v>
          </cell>
        </row>
        <row r="2250">
          <cell r="P2250">
            <v>0</v>
          </cell>
          <cell r="S2250" t="str">
            <v xml:space="preserve">32939 </v>
          </cell>
          <cell r="AA2250">
            <v>32939</v>
          </cell>
        </row>
        <row r="2251">
          <cell r="P2251">
            <v>0</v>
          </cell>
          <cell r="S2251" t="str">
            <v xml:space="preserve">32939 </v>
          </cell>
          <cell r="AA2251">
            <v>32939</v>
          </cell>
        </row>
        <row r="2252">
          <cell r="P2252">
            <v>0</v>
          </cell>
          <cell r="S2252" t="str">
            <v xml:space="preserve">32939 </v>
          </cell>
          <cell r="AA2252">
            <v>32939</v>
          </cell>
        </row>
        <row r="2253">
          <cell r="P2253">
            <v>0</v>
          </cell>
          <cell r="S2253" t="str">
            <v xml:space="preserve">32939 </v>
          </cell>
          <cell r="AA2253">
            <v>32939</v>
          </cell>
        </row>
        <row r="2254">
          <cell r="P2254">
            <v>0</v>
          </cell>
          <cell r="S2254" t="str">
            <v xml:space="preserve">32939 </v>
          </cell>
          <cell r="AA2254">
            <v>32939</v>
          </cell>
        </row>
        <row r="2255">
          <cell r="P2255">
            <v>0</v>
          </cell>
          <cell r="S2255" t="str">
            <v xml:space="preserve">32939 </v>
          </cell>
          <cell r="AA2255">
            <v>32939</v>
          </cell>
        </row>
        <row r="2256">
          <cell r="P2256">
            <v>0</v>
          </cell>
          <cell r="S2256" t="str">
            <v xml:space="preserve">32939 </v>
          </cell>
          <cell r="AA2256">
            <v>32939</v>
          </cell>
        </row>
        <row r="2257">
          <cell r="P2257">
            <v>0</v>
          </cell>
          <cell r="S2257" t="str">
            <v xml:space="preserve">32939 </v>
          </cell>
          <cell r="AA2257">
            <v>32939</v>
          </cell>
        </row>
        <row r="2258">
          <cell r="P2258">
            <v>0</v>
          </cell>
          <cell r="S2258" t="str">
            <v xml:space="preserve">32939 </v>
          </cell>
          <cell r="AA2258">
            <v>32939</v>
          </cell>
        </row>
        <row r="2259">
          <cell r="P2259">
            <v>0</v>
          </cell>
          <cell r="S2259" t="str">
            <v xml:space="preserve">32939 </v>
          </cell>
          <cell r="AA2259">
            <v>32939</v>
          </cell>
        </row>
        <row r="2260">
          <cell r="P2260">
            <v>0</v>
          </cell>
          <cell r="S2260" t="str">
            <v xml:space="preserve">32939 </v>
          </cell>
          <cell r="AA2260">
            <v>32939</v>
          </cell>
        </row>
        <row r="2261">
          <cell r="P2261">
            <v>0</v>
          </cell>
          <cell r="S2261" t="str">
            <v xml:space="preserve">32939 </v>
          </cell>
          <cell r="AA2261">
            <v>32939</v>
          </cell>
        </row>
        <row r="2262">
          <cell r="P2262">
            <v>0</v>
          </cell>
          <cell r="S2262" t="str">
            <v xml:space="preserve">32939 </v>
          </cell>
          <cell r="AA2262">
            <v>32939</v>
          </cell>
        </row>
        <row r="2263">
          <cell r="P2263">
            <v>0</v>
          </cell>
          <cell r="S2263" t="str">
            <v xml:space="preserve">32939 </v>
          </cell>
          <cell r="AA2263">
            <v>32939</v>
          </cell>
        </row>
        <row r="2264">
          <cell r="P2264">
            <v>0</v>
          </cell>
          <cell r="S2264" t="str">
            <v xml:space="preserve">32939 </v>
          </cell>
          <cell r="AA2264">
            <v>32939</v>
          </cell>
        </row>
        <row r="2265">
          <cell r="P2265">
            <v>0</v>
          </cell>
          <cell r="S2265" t="str">
            <v xml:space="preserve">32939 </v>
          </cell>
          <cell r="AA2265">
            <v>32939</v>
          </cell>
        </row>
        <row r="2266">
          <cell r="P2266">
            <v>0</v>
          </cell>
          <cell r="S2266" t="str">
            <v xml:space="preserve">32939 </v>
          </cell>
          <cell r="AA2266">
            <v>32939</v>
          </cell>
        </row>
        <row r="2267">
          <cell r="P2267">
            <v>0</v>
          </cell>
          <cell r="S2267" t="str">
            <v xml:space="preserve">32939 </v>
          </cell>
          <cell r="AA2267">
            <v>32939</v>
          </cell>
        </row>
        <row r="2268">
          <cell r="P2268">
            <v>0</v>
          </cell>
          <cell r="S2268" t="str">
            <v xml:space="preserve">32939 </v>
          </cell>
          <cell r="AA2268">
            <v>32939</v>
          </cell>
        </row>
        <row r="2269">
          <cell r="P2269">
            <v>0</v>
          </cell>
          <cell r="S2269" t="str">
            <v xml:space="preserve">32939 </v>
          </cell>
          <cell r="AA2269">
            <v>32939</v>
          </cell>
        </row>
        <row r="2270">
          <cell r="P2270">
            <v>0</v>
          </cell>
          <cell r="S2270" t="str">
            <v xml:space="preserve">32939 </v>
          </cell>
          <cell r="AA2270">
            <v>32939</v>
          </cell>
        </row>
        <row r="2271">
          <cell r="P2271">
            <v>0</v>
          </cell>
          <cell r="S2271" t="str">
            <v xml:space="preserve">32939 </v>
          </cell>
          <cell r="AA2271">
            <v>32939</v>
          </cell>
        </row>
        <row r="2272">
          <cell r="P2272">
            <v>0</v>
          </cell>
          <cell r="S2272" t="str">
            <v xml:space="preserve">32939 </v>
          </cell>
          <cell r="AA2272">
            <v>32939</v>
          </cell>
        </row>
        <row r="2273">
          <cell r="P2273">
            <v>0</v>
          </cell>
          <cell r="S2273" t="str">
            <v xml:space="preserve">32939 </v>
          </cell>
          <cell r="AA2273">
            <v>32939</v>
          </cell>
        </row>
        <row r="2274">
          <cell r="P2274">
            <v>0</v>
          </cell>
          <cell r="S2274" t="str">
            <v xml:space="preserve">32939 </v>
          </cell>
          <cell r="AA2274">
            <v>32939</v>
          </cell>
        </row>
        <row r="2275">
          <cell r="P2275">
            <v>0</v>
          </cell>
          <cell r="S2275" t="str">
            <v xml:space="preserve">32939 </v>
          </cell>
          <cell r="AA2275">
            <v>32939</v>
          </cell>
        </row>
        <row r="2276">
          <cell r="P2276">
            <v>0</v>
          </cell>
          <cell r="S2276" t="str">
            <v xml:space="preserve">32939 </v>
          </cell>
          <cell r="AA2276">
            <v>32939</v>
          </cell>
        </row>
        <row r="2277">
          <cell r="P2277">
            <v>0</v>
          </cell>
          <cell r="S2277" t="str">
            <v xml:space="preserve">32939 </v>
          </cell>
          <cell r="AA2277">
            <v>32939</v>
          </cell>
        </row>
        <row r="2278">
          <cell r="P2278">
            <v>0</v>
          </cell>
          <cell r="S2278" t="str">
            <v xml:space="preserve">32939 </v>
          </cell>
          <cell r="AA2278">
            <v>32939</v>
          </cell>
        </row>
        <row r="2279">
          <cell r="P2279">
            <v>0</v>
          </cell>
          <cell r="S2279" t="str">
            <v xml:space="preserve">32939 </v>
          </cell>
          <cell r="AA2279">
            <v>32939</v>
          </cell>
        </row>
        <row r="2280">
          <cell r="P2280">
            <v>0</v>
          </cell>
          <cell r="S2280" t="str">
            <v xml:space="preserve">32939 </v>
          </cell>
          <cell r="AA2280">
            <v>32939</v>
          </cell>
        </row>
        <row r="2281">
          <cell r="P2281">
            <v>0</v>
          </cell>
          <cell r="S2281" t="str">
            <v xml:space="preserve">32939 </v>
          </cell>
          <cell r="AA2281">
            <v>32939</v>
          </cell>
        </row>
        <row r="2282">
          <cell r="P2282">
            <v>0</v>
          </cell>
          <cell r="S2282" t="str">
            <v xml:space="preserve">32939 </v>
          </cell>
          <cell r="AA2282">
            <v>32939</v>
          </cell>
        </row>
        <row r="2283">
          <cell r="P2283">
            <v>0</v>
          </cell>
          <cell r="S2283" t="str">
            <v xml:space="preserve">32939 </v>
          </cell>
          <cell r="AA2283">
            <v>32939</v>
          </cell>
        </row>
        <row r="2284">
          <cell r="P2284">
            <v>0</v>
          </cell>
          <cell r="S2284" t="str">
            <v xml:space="preserve">32939 </v>
          </cell>
          <cell r="AA2284">
            <v>32939</v>
          </cell>
        </row>
        <row r="2285">
          <cell r="P2285">
            <v>0</v>
          </cell>
          <cell r="S2285" t="str">
            <v xml:space="preserve">32939 </v>
          </cell>
          <cell r="AA2285">
            <v>32939</v>
          </cell>
        </row>
        <row r="2286">
          <cell r="P2286">
            <v>0</v>
          </cell>
          <cell r="S2286" t="str">
            <v xml:space="preserve">32939 </v>
          </cell>
          <cell r="AA2286">
            <v>32939</v>
          </cell>
        </row>
        <row r="2287">
          <cell r="P2287">
            <v>0</v>
          </cell>
          <cell r="S2287" t="str">
            <v xml:space="preserve">32939 </v>
          </cell>
          <cell r="AA2287">
            <v>32939</v>
          </cell>
        </row>
        <row r="2288">
          <cell r="P2288">
            <v>0</v>
          </cell>
          <cell r="S2288" t="str">
            <v xml:space="preserve">32939 </v>
          </cell>
          <cell r="AA2288">
            <v>32939</v>
          </cell>
        </row>
        <row r="2289">
          <cell r="P2289">
            <v>0</v>
          </cell>
          <cell r="S2289" t="str">
            <v xml:space="preserve">32939 </v>
          </cell>
          <cell r="AA2289">
            <v>32939</v>
          </cell>
        </row>
        <row r="2290">
          <cell r="P2290">
            <v>0</v>
          </cell>
          <cell r="S2290" t="str">
            <v xml:space="preserve">32939 </v>
          </cell>
          <cell r="AA2290">
            <v>32939</v>
          </cell>
        </row>
        <row r="2291">
          <cell r="P2291">
            <v>0</v>
          </cell>
          <cell r="S2291" t="str">
            <v xml:space="preserve">32939 </v>
          </cell>
          <cell r="AA2291">
            <v>32939</v>
          </cell>
        </row>
        <row r="2292">
          <cell r="P2292">
            <v>0</v>
          </cell>
          <cell r="S2292" t="str">
            <v xml:space="preserve">32939 </v>
          </cell>
          <cell r="AA2292">
            <v>32939</v>
          </cell>
        </row>
        <row r="2293">
          <cell r="P2293">
            <v>0</v>
          </cell>
          <cell r="S2293" t="str">
            <v xml:space="preserve">32939 </v>
          </cell>
          <cell r="AA2293">
            <v>32939</v>
          </cell>
        </row>
        <row r="2294">
          <cell r="P2294">
            <v>0</v>
          </cell>
          <cell r="S2294" t="str">
            <v xml:space="preserve">32939 </v>
          </cell>
          <cell r="AA2294">
            <v>32939</v>
          </cell>
        </row>
        <row r="2295">
          <cell r="P2295">
            <v>0</v>
          </cell>
          <cell r="S2295" t="str">
            <v xml:space="preserve">32939 </v>
          </cell>
          <cell r="AA2295">
            <v>32939</v>
          </cell>
        </row>
        <row r="2296">
          <cell r="P2296">
            <v>0</v>
          </cell>
          <cell r="S2296" t="str">
            <v xml:space="preserve">32939 </v>
          </cell>
          <cell r="AA2296">
            <v>32939</v>
          </cell>
        </row>
        <row r="2297">
          <cell r="P2297">
            <v>0</v>
          </cell>
          <cell r="S2297" t="str">
            <v xml:space="preserve">32939 </v>
          </cell>
          <cell r="AA2297">
            <v>32939</v>
          </cell>
        </row>
        <row r="2298">
          <cell r="P2298">
            <v>0</v>
          </cell>
          <cell r="S2298" t="str">
            <v xml:space="preserve">32939 </v>
          </cell>
          <cell r="AA2298">
            <v>32939</v>
          </cell>
        </row>
        <row r="2299">
          <cell r="P2299">
            <v>0</v>
          </cell>
          <cell r="S2299" t="str">
            <v xml:space="preserve">32939 </v>
          </cell>
          <cell r="AA2299">
            <v>32939</v>
          </cell>
        </row>
        <row r="2300">
          <cell r="P2300">
            <v>0</v>
          </cell>
          <cell r="S2300" t="str">
            <v xml:space="preserve">32939 </v>
          </cell>
          <cell r="AA2300">
            <v>32939</v>
          </cell>
        </row>
        <row r="2301">
          <cell r="P2301">
            <v>0</v>
          </cell>
          <cell r="S2301" t="str">
            <v xml:space="preserve">32939 </v>
          </cell>
          <cell r="AA2301">
            <v>32939</v>
          </cell>
        </row>
        <row r="2302">
          <cell r="P2302">
            <v>0</v>
          </cell>
          <cell r="S2302" t="str">
            <v xml:space="preserve">32939 </v>
          </cell>
          <cell r="AA2302">
            <v>32939</v>
          </cell>
        </row>
        <row r="2303">
          <cell r="P2303">
            <v>0</v>
          </cell>
          <cell r="S2303" t="str">
            <v xml:space="preserve">32939 </v>
          </cell>
          <cell r="AA2303">
            <v>32939</v>
          </cell>
        </row>
        <row r="2304">
          <cell r="P2304">
            <v>0</v>
          </cell>
          <cell r="S2304" t="str">
            <v xml:space="preserve">32939 </v>
          </cell>
          <cell r="AA2304">
            <v>32939</v>
          </cell>
        </row>
        <row r="2305">
          <cell r="P2305">
            <v>0</v>
          </cell>
          <cell r="S2305" t="str">
            <v xml:space="preserve">32939 </v>
          </cell>
          <cell r="AA2305">
            <v>32939</v>
          </cell>
        </row>
        <row r="2306">
          <cell r="P2306">
            <v>0</v>
          </cell>
          <cell r="S2306" t="str">
            <v xml:space="preserve">32939 </v>
          </cell>
          <cell r="AA2306">
            <v>32939</v>
          </cell>
        </row>
        <row r="2307">
          <cell r="P2307">
            <v>0</v>
          </cell>
          <cell r="S2307" t="str">
            <v xml:space="preserve">32939 </v>
          </cell>
          <cell r="AA2307">
            <v>32939</v>
          </cell>
        </row>
        <row r="2308">
          <cell r="P2308">
            <v>0</v>
          </cell>
          <cell r="S2308" t="str">
            <v xml:space="preserve">32939 </v>
          </cell>
          <cell r="AA2308">
            <v>32939</v>
          </cell>
        </row>
        <row r="2309">
          <cell r="P2309">
            <v>0</v>
          </cell>
          <cell r="S2309" t="str">
            <v xml:space="preserve">32939 </v>
          </cell>
          <cell r="AA2309">
            <v>32939</v>
          </cell>
        </row>
        <row r="2310">
          <cell r="P2310">
            <v>0</v>
          </cell>
          <cell r="S2310" t="str">
            <v xml:space="preserve">32939 </v>
          </cell>
          <cell r="AA2310">
            <v>32939</v>
          </cell>
        </row>
        <row r="2311">
          <cell r="P2311">
            <v>0</v>
          </cell>
          <cell r="S2311" t="str">
            <v xml:space="preserve">32939 </v>
          </cell>
          <cell r="AA2311">
            <v>32939</v>
          </cell>
        </row>
        <row r="2312">
          <cell r="P2312">
            <v>0</v>
          </cell>
          <cell r="S2312" t="str">
            <v xml:space="preserve">32939 </v>
          </cell>
          <cell r="AA2312">
            <v>32939</v>
          </cell>
        </row>
        <row r="2313">
          <cell r="P2313">
            <v>0</v>
          </cell>
          <cell r="S2313" t="str">
            <v xml:space="preserve">32939 </v>
          </cell>
          <cell r="AA2313">
            <v>32939</v>
          </cell>
        </row>
        <row r="2314">
          <cell r="P2314">
            <v>0</v>
          </cell>
          <cell r="S2314" t="str">
            <v xml:space="preserve">32939 </v>
          </cell>
          <cell r="AA2314">
            <v>32939</v>
          </cell>
        </row>
        <row r="2315">
          <cell r="P2315">
            <v>0</v>
          </cell>
          <cell r="S2315" t="str">
            <v xml:space="preserve">32939 </v>
          </cell>
          <cell r="AA2315">
            <v>32939</v>
          </cell>
        </row>
        <row r="2316">
          <cell r="P2316">
            <v>0</v>
          </cell>
          <cell r="S2316" t="str">
            <v xml:space="preserve">32939 </v>
          </cell>
          <cell r="AA2316">
            <v>32939</v>
          </cell>
        </row>
        <row r="2317">
          <cell r="P2317">
            <v>0</v>
          </cell>
          <cell r="S2317" t="str">
            <v xml:space="preserve">32939 </v>
          </cell>
          <cell r="AA2317">
            <v>32939</v>
          </cell>
        </row>
        <row r="2318">
          <cell r="P2318">
            <v>0</v>
          </cell>
          <cell r="S2318" t="str">
            <v xml:space="preserve">32939 </v>
          </cell>
          <cell r="AA2318">
            <v>32939</v>
          </cell>
        </row>
        <row r="2319">
          <cell r="P2319">
            <v>0</v>
          </cell>
          <cell r="S2319" t="str">
            <v xml:space="preserve">32939 </v>
          </cell>
          <cell r="AA2319">
            <v>32939</v>
          </cell>
        </row>
        <row r="2320">
          <cell r="P2320">
            <v>0</v>
          </cell>
          <cell r="S2320" t="str">
            <v xml:space="preserve">32939 </v>
          </cell>
          <cell r="AA2320">
            <v>32939</v>
          </cell>
        </row>
        <row r="2321">
          <cell r="P2321">
            <v>0</v>
          </cell>
          <cell r="S2321" t="str">
            <v xml:space="preserve">32939 </v>
          </cell>
          <cell r="AA2321">
            <v>32939</v>
          </cell>
        </row>
        <row r="2322">
          <cell r="P2322">
            <v>0</v>
          </cell>
          <cell r="S2322" t="str">
            <v xml:space="preserve">32939 </v>
          </cell>
          <cell r="AA2322">
            <v>32939</v>
          </cell>
        </row>
        <row r="2323">
          <cell r="P2323">
            <v>0</v>
          </cell>
          <cell r="S2323" t="str">
            <v xml:space="preserve">32939 </v>
          </cell>
          <cell r="AA2323">
            <v>32939</v>
          </cell>
        </row>
        <row r="2324">
          <cell r="P2324">
            <v>0</v>
          </cell>
          <cell r="S2324" t="str">
            <v xml:space="preserve">32939 </v>
          </cell>
          <cell r="AA2324">
            <v>32939</v>
          </cell>
        </row>
        <row r="2325">
          <cell r="P2325">
            <v>0</v>
          </cell>
          <cell r="S2325" t="str">
            <v xml:space="preserve">32939 </v>
          </cell>
          <cell r="AA2325">
            <v>32939</v>
          </cell>
        </row>
        <row r="2326">
          <cell r="P2326">
            <v>0</v>
          </cell>
          <cell r="S2326" t="str">
            <v xml:space="preserve">32939 </v>
          </cell>
          <cell r="AA2326">
            <v>32939</v>
          </cell>
        </row>
        <row r="2327">
          <cell r="P2327">
            <v>0</v>
          </cell>
          <cell r="S2327" t="str">
            <v xml:space="preserve">32939 </v>
          </cell>
          <cell r="AA2327">
            <v>32939</v>
          </cell>
        </row>
        <row r="2328">
          <cell r="P2328">
            <v>0</v>
          </cell>
          <cell r="S2328" t="str">
            <v xml:space="preserve">32939 </v>
          </cell>
          <cell r="AA2328">
            <v>32939</v>
          </cell>
        </row>
        <row r="2329">
          <cell r="P2329">
            <v>0</v>
          </cell>
          <cell r="S2329" t="str">
            <v xml:space="preserve">32939 </v>
          </cell>
          <cell r="AA2329">
            <v>32939</v>
          </cell>
        </row>
        <row r="2330">
          <cell r="P2330">
            <v>0</v>
          </cell>
          <cell r="S2330" t="str">
            <v xml:space="preserve">32939 </v>
          </cell>
          <cell r="AA2330">
            <v>32939</v>
          </cell>
        </row>
        <row r="2331">
          <cell r="P2331">
            <v>0</v>
          </cell>
          <cell r="S2331" t="str">
            <v xml:space="preserve">32939 </v>
          </cell>
          <cell r="AA2331">
            <v>32939</v>
          </cell>
        </row>
        <row r="2332">
          <cell r="P2332">
            <v>0</v>
          </cell>
          <cell r="S2332" t="str">
            <v xml:space="preserve">32939 </v>
          </cell>
          <cell r="AA2332">
            <v>32939</v>
          </cell>
        </row>
        <row r="2333">
          <cell r="P2333">
            <v>0</v>
          </cell>
          <cell r="S2333" t="str">
            <v xml:space="preserve">32939 </v>
          </cell>
          <cell r="AA2333">
            <v>32939</v>
          </cell>
        </row>
        <row r="2334">
          <cell r="P2334">
            <v>0</v>
          </cell>
          <cell r="S2334" t="str">
            <v xml:space="preserve">32939 </v>
          </cell>
          <cell r="AA2334">
            <v>32939</v>
          </cell>
        </row>
        <row r="2335">
          <cell r="P2335">
            <v>0</v>
          </cell>
          <cell r="S2335" t="str">
            <v xml:space="preserve">32939 </v>
          </cell>
          <cell r="AA2335">
            <v>32939</v>
          </cell>
        </row>
        <row r="2336">
          <cell r="P2336">
            <v>0</v>
          </cell>
          <cell r="S2336" t="str">
            <v xml:space="preserve">32939 </v>
          </cell>
          <cell r="AA2336">
            <v>32939</v>
          </cell>
        </row>
        <row r="2337">
          <cell r="P2337">
            <v>0</v>
          </cell>
          <cell r="S2337" t="str">
            <v xml:space="preserve">32939 </v>
          </cell>
          <cell r="AA2337">
            <v>32939</v>
          </cell>
        </row>
        <row r="2338">
          <cell r="P2338">
            <v>0</v>
          </cell>
          <cell r="S2338" t="str">
            <v xml:space="preserve">32939 </v>
          </cell>
          <cell r="AA2338">
            <v>32939</v>
          </cell>
        </row>
        <row r="2339">
          <cell r="P2339">
            <v>0</v>
          </cell>
          <cell r="S2339" t="str">
            <v xml:space="preserve">32939 </v>
          </cell>
          <cell r="AA2339">
            <v>32939</v>
          </cell>
        </row>
        <row r="2340">
          <cell r="P2340">
            <v>0</v>
          </cell>
          <cell r="S2340" t="str">
            <v xml:space="preserve">32939 </v>
          </cell>
          <cell r="AA2340">
            <v>32939</v>
          </cell>
        </row>
        <row r="2341">
          <cell r="P2341">
            <v>0</v>
          </cell>
          <cell r="S2341" t="str">
            <v xml:space="preserve">32939 </v>
          </cell>
          <cell r="AA2341">
            <v>32939</v>
          </cell>
        </row>
        <row r="2342">
          <cell r="P2342">
            <v>0</v>
          </cell>
          <cell r="S2342" t="str">
            <v xml:space="preserve">32939 </v>
          </cell>
          <cell r="AA2342">
            <v>32939</v>
          </cell>
        </row>
        <row r="2343">
          <cell r="P2343">
            <v>0</v>
          </cell>
          <cell r="S2343" t="str">
            <v xml:space="preserve">32939 </v>
          </cell>
          <cell r="AA2343">
            <v>32939</v>
          </cell>
        </row>
        <row r="2344">
          <cell r="P2344">
            <v>0</v>
          </cell>
          <cell r="S2344" t="str">
            <v xml:space="preserve">32939 </v>
          </cell>
          <cell r="AA2344">
            <v>32939</v>
          </cell>
        </row>
        <row r="2345">
          <cell r="P2345">
            <v>0</v>
          </cell>
          <cell r="S2345" t="str">
            <v xml:space="preserve">32939 </v>
          </cell>
          <cell r="AA2345">
            <v>32939</v>
          </cell>
        </row>
        <row r="2346">
          <cell r="P2346">
            <v>0</v>
          </cell>
          <cell r="S2346" t="str">
            <v xml:space="preserve">32939 </v>
          </cell>
          <cell r="AA2346">
            <v>32939</v>
          </cell>
        </row>
        <row r="2347">
          <cell r="P2347">
            <v>0</v>
          </cell>
          <cell r="S2347" t="str">
            <v xml:space="preserve">32939 </v>
          </cell>
          <cell r="AA2347">
            <v>32939</v>
          </cell>
        </row>
        <row r="2348">
          <cell r="P2348">
            <v>0</v>
          </cell>
          <cell r="S2348" t="str">
            <v xml:space="preserve">32939 </v>
          </cell>
          <cell r="AA2348">
            <v>32939</v>
          </cell>
        </row>
        <row r="2349">
          <cell r="P2349">
            <v>0</v>
          </cell>
          <cell r="S2349" t="str">
            <v xml:space="preserve">32939 </v>
          </cell>
          <cell r="AA2349">
            <v>32939</v>
          </cell>
        </row>
        <row r="2350">
          <cell r="P2350">
            <v>0</v>
          </cell>
          <cell r="S2350" t="str">
            <v xml:space="preserve">32939 </v>
          </cell>
          <cell r="AA2350">
            <v>32939</v>
          </cell>
        </row>
        <row r="2351">
          <cell r="P2351">
            <v>0</v>
          </cell>
          <cell r="S2351" t="str">
            <v xml:space="preserve">32939 </v>
          </cell>
          <cell r="AA2351">
            <v>32939</v>
          </cell>
        </row>
        <row r="2352">
          <cell r="P2352">
            <v>0</v>
          </cell>
          <cell r="S2352" t="str">
            <v xml:space="preserve">32939 </v>
          </cell>
          <cell r="AA2352">
            <v>32939</v>
          </cell>
        </row>
        <row r="2353">
          <cell r="P2353">
            <v>0</v>
          </cell>
          <cell r="S2353" t="str">
            <v xml:space="preserve">32939 </v>
          </cell>
          <cell r="AA2353">
            <v>32939</v>
          </cell>
        </row>
        <row r="2354">
          <cell r="P2354">
            <v>0</v>
          </cell>
          <cell r="S2354" t="str">
            <v xml:space="preserve">32939 </v>
          </cell>
          <cell r="AA2354">
            <v>32939</v>
          </cell>
        </row>
        <row r="2355">
          <cell r="P2355">
            <v>0</v>
          </cell>
          <cell r="S2355" t="str">
            <v xml:space="preserve">32939 </v>
          </cell>
          <cell r="AA2355">
            <v>32939</v>
          </cell>
        </row>
        <row r="2356">
          <cell r="P2356">
            <v>0</v>
          </cell>
          <cell r="S2356" t="str">
            <v xml:space="preserve">32939 </v>
          </cell>
          <cell r="AA2356">
            <v>32939</v>
          </cell>
        </row>
        <row r="2357">
          <cell r="P2357">
            <v>0</v>
          </cell>
          <cell r="S2357" t="str">
            <v xml:space="preserve">32939 </v>
          </cell>
          <cell r="AA2357">
            <v>32939</v>
          </cell>
        </row>
        <row r="2358">
          <cell r="P2358">
            <v>0</v>
          </cell>
          <cell r="S2358" t="str">
            <v xml:space="preserve">32939 </v>
          </cell>
          <cell r="AA2358">
            <v>32939</v>
          </cell>
        </row>
        <row r="2359">
          <cell r="P2359">
            <v>0</v>
          </cell>
          <cell r="S2359" t="str">
            <v xml:space="preserve">32939 </v>
          </cell>
          <cell r="AA2359">
            <v>32939</v>
          </cell>
        </row>
        <row r="2360">
          <cell r="P2360">
            <v>0</v>
          </cell>
          <cell r="S2360" t="str">
            <v xml:space="preserve">32939 </v>
          </cell>
          <cell r="AA2360">
            <v>32939</v>
          </cell>
        </row>
        <row r="2361">
          <cell r="P2361">
            <v>0</v>
          </cell>
          <cell r="S2361" t="str">
            <v xml:space="preserve">32939 </v>
          </cell>
          <cell r="AA2361">
            <v>32939</v>
          </cell>
        </row>
        <row r="2362">
          <cell r="P2362">
            <v>0</v>
          </cell>
          <cell r="S2362" t="str">
            <v xml:space="preserve">32939 </v>
          </cell>
          <cell r="AA2362">
            <v>32939</v>
          </cell>
        </row>
        <row r="2363">
          <cell r="P2363">
            <v>0</v>
          </cell>
          <cell r="S2363" t="str">
            <v xml:space="preserve">32939 </v>
          </cell>
          <cell r="AA2363">
            <v>32939</v>
          </cell>
        </row>
        <row r="2364">
          <cell r="P2364">
            <v>0</v>
          </cell>
          <cell r="S2364" t="str">
            <v xml:space="preserve">32939 </v>
          </cell>
          <cell r="AA2364">
            <v>32939</v>
          </cell>
        </row>
        <row r="2365">
          <cell r="P2365">
            <v>0</v>
          </cell>
          <cell r="S2365" t="str">
            <v xml:space="preserve">32939 </v>
          </cell>
          <cell r="AA2365">
            <v>32939</v>
          </cell>
        </row>
        <row r="2366">
          <cell r="P2366">
            <v>0</v>
          </cell>
          <cell r="S2366" t="str">
            <v xml:space="preserve">32939 </v>
          </cell>
          <cell r="AA2366">
            <v>32939</v>
          </cell>
        </row>
        <row r="2367">
          <cell r="P2367">
            <v>0</v>
          </cell>
          <cell r="S2367" t="str">
            <v xml:space="preserve">32939 </v>
          </cell>
          <cell r="AA2367">
            <v>32939</v>
          </cell>
        </row>
        <row r="2368">
          <cell r="P2368">
            <v>0</v>
          </cell>
          <cell r="S2368" t="str">
            <v xml:space="preserve">32939 </v>
          </cell>
          <cell r="AA2368">
            <v>32939</v>
          </cell>
        </row>
        <row r="2369">
          <cell r="P2369">
            <v>0</v>
          </cell>
          <cell r="S2369" t="str">
            <v xml:space="preserve">32939 </v>
          </cell>
          <cell r="AA2369">
            <v>32939</v>
          </cell>
        </row>
        <row r="2370">
          <cell r="P2370">
            <v>0</v>
          </cell>
          <cell r="S2370" t="str">
            <v xml:space="preserve">32939 </v>
          </cell>
          <cell r="AA2370">
            <v>32939</v>
          </cell>
        </row>
        <row r="2371">
          <cell r="P2371">
            <v>0</v>
          </cell>
          <cell r="S2371" t="str">
            <v xml:space="preserve">32939 </v>
          </cell>
          <cell r="AA2371">
            <v>32939</v>
          </cell>
        </row>
        <row r="2372">
          <cell r="P2372">
            <v>0</v>
          </cell>
          <cell r="S2372" t="str">
            <v xml:space="preserve">32939 </v>
          </cell>
          <cell r="AA2372">
            <v>32939</v>
          </cell>
        </row>
        <row r="2373">
          <cell r="P2373">
            <v>0</v>
          </cell>
          <cell r="S2373" t="str">
            <v xml:space="preserve">32939 </v>
          </cell>
          <cell r="AA2373">
            <v>32939</v>
          </cell>
        </row>
        <row r="2374">
          <cell r="P2374">
            <v>0</v>
          </cell>
          <cell r="S2374" t="str">
            <v xml:space="preserve">32939 </v>
          </cell>
          <cell r="AA2374">
            <v>32939</v>
          </cell>
        </row>
        <row r="2375">
          <cell r="P2375">
            <v>0</v>
          </cell>
          <cell r="S2375" t="str">
            <v xml:space="preserve">32939 </v>
          </cell>
          <cell r="AA2375">
            <v>32939</v>
          </cell>
        </row>
        <row r="2376">
          <cell r="P2376">
            <v>0</v>
          </cell>
          <cell r="S2376" t="str">
            <v xml:space="preserve">32939 </v>
          </cell>
          <cell r="AA2376">
            <v>32939</v>
          </cell>
        </row>
        <row r="2377">
          <cell r="P2377">
            <v>0</v>
          </cell>
          <cell r="S2377" t="str">
            <v xml:space="preserve">32939 </v>
          </cell>
          <cell r="AA2377">
            <v>32939</v>
          </cell>
        </row>
        <row r="2378">
          <cell r="P2378">
            <v>0</v>
          </cell>
          <cell r="S2378" t="str">
            <v xml:space="preserve">32939 </v>
          </cell>
          <cell r="AA2378">
            <v>32939</v>
          </cell>
        </row>
        <row r="2379">
          <cell r="P2379">
            <v>0</v>
          </cell>
          <cell r="S2379" t="str">
            <v xml:space="preserve">32939 </v>
          </cell>
          <cell r="AA2379">
            <v>32939</v>
          </cell>
        </row>
        <row r="2380">
          <cell r="P2380">
            <v>0</v>
          </cell>
          <cell r="S2380" t="str">
            <v xml:space="preserve">32939 </v>
          </cell>
          <cell r="AA2380">
            <v>32939</v>
          </cell>
        </row>
        <row r="2381">
          <cell r="P2381">
            <v>0</v>
          </cell>
          <cell r="S2381" t="str">
            <v xml:space="preserve">32939 </v>
          </cell>
          <cell r="AA2381">
            <v>32939</v>
          </cell>
        </row>
        <row r="2382">
          <cell r="P2382">
            <v>0</v>
          </cell>
          <cell r="S2382" t="str">
            <v xml:space="preserve">32939 </v>
          </cell>
          <cell r="AA2382">
            <v>32939</v>
          </cell>
        </row>
        <row r="2383">
          <cell r="P2383">
            <v>0</v>
          </cell>
          <cell r="S2383" t="str">
            <v xml:space="preserve">32939 </v>
          </cell>
          <cell r="AA2383">
            <v>32939</v>
          </cell>
        </row>
        <row r="2384">
          <cell r="P2384">
            <v>0</v>
          </cell>
          <cell r="S2384" t="str">
            <v xml:space="preserve">32939 </v>
          </cell>
          <cell r="AA2384">
            <v>32939</v>
          </cell>
        </row>
        <row r="2385">
          <cell r="P2385">
            <v>0</v>
          </cell>
          <cell r="S2385" t="str">
            <v xml:space="preserve">32939 </v>
          </cell>
          <cell r="AA2385">
            <v>32939</v>
          </cell>
        </row>
        <row r="2386">
          <cell r="P2386">
            <v>0</v>
          </cell>
          <cell r="S2386" t="str">
            <v xml:space="preserve">32939 </v>
          </cell>
          <cell r="AA2386">
            <v>32939</v>
          </cell>
        </row>
        <row r="2387">
          <cell r="P2387">
            <v>0</v>
          </cell>
          <cell r="S2387" t="str">
            <v xml:space="preserve">32939 </v>
          </cell>
          <cell r="AA2387">
            <v>32939</v>
          </cell>
        </row>
        <row r="2388">
          <cell r="P2388">
            <v>0</v>
          </cell>
          <cell r="S2388" t="str">
            <v xml:space="preserve">32939 </v>
          </cell>
          <cell r="AA2388">
            <v>32939</v>
          </cell>
        </row>
        <row r="2389">
          <cell r="P2389">
            <v>0</v>
          </cell>
          <cell r="S2389" t="str">
            <v xml:space="preserve">32939 </v>
          </cell>
          <cell r="AA2389">
            <v>32939</v>
          </cell>
        </row>
        <row r="2390">
          <cell r="P2390">
            <v>0</v>
          </cell>
          <cell r="S2390" t="str">
            <v xml:space="preserve">32939 </v>
          </cell>
          <cell r="AA2390">
            <v>32939</v>
          </cell>
        </row>
        <row r="2391">
          <cell r="P2391">
            <v>0</v>
          </cell>
          <cell r="S2391" t="str">
            <v xml:space="preserve">32939 </v>
          </cell>
          <cell r="AA2391">
            <v>32939</v>
          </cell>
        </row>
        <row r="2392">
          <cell r="P2392">
            <v>0</v>
          </cell>
          <cell r="S2392" t="str">
            <v xml:space="preserve">32939 </v>
          </cell>
          <cell r="AA2392">
            <v>32939</v>
          </cell>
        </row>
        <row r="2393">
          <cell r="P2393">
            <v>0</v>
          </cell>
          <cell r="S2393" t="str">
            <v xml:space="preserve">32939 </v>
          </cell>
          <cell r="AA2393">
            <v>32939</v>
          </cell>
        </row>
        <row r="2394">
          <cell r="P2394">
            <v>0</v>
          </cell>
          <cell r="S2394" t="str">
            <v xml:space="preserve">32939 </v>
          </cell>
          <cell r="AA2394">
            <v>32939</v>
          </cell>
        </row>
        <row r="2395">
          <cell r="P2395">
            <v>0</v>
          </cell>
          <cell r="S2395" t="str">
            <v xml:space="preserve">32939 </v>
          </cell>
          <cell r="AA2395">
            <v>32939</v>
          </cell>
        </row>
        <row r="2396">
          <cell r="P2396">
            <v>0</v>
          </cell>
          <cell r="S2396" t="str">
            <v xml:space="preserve">32939 </v>
          </cell>
          <cell r="AA2396">
            <v>32939</v>
          </cell>
        </row>
        <row r="2397">
          <cell r="P2397">
            <v>0</v>
          </cell>
          <cell r="S2397" t="str">
            <v xml:space="preserve">32939 </v>
          </cell>
          <cell r="AA2397">
            <v>32939</v>
          </cell>
        </row>
        <row r="2398">
          <cell r="P2398">
            <v>0</v>
          </cell>
          <cell r="S2398" t="str">
            <v xml:space="preserve">32939 </v>
          </cell>
          <cell r="AA2398">
            <v>32939</v>
          </cell>
        </row>
        <row r="2399">
          <cell r="P2399">
            <v>0</v>
          </cell>
          <cell r="S2399" t="str">
            <v xml:space="preserve">32939 </v>
          </cell>
          <cell r="AA2399">
            <v>32939</v>
          </cell>
        </row>
        <row r="2400">
          <cell r="P2400">
            <v>0</v>
          </cell>
          <cell r="S2400" t="str">
            <v xml:space="preserve">32939 </v>
          </cell>
          <cell r="AA2400">
            <v>32939</v>
          </cell>
        </row>
        <row r="2401">
          <cell r="P2401">
            <v>0</v>
          </cell>
          <cell r="S2401" t="str">
            <v xml:space="preserve">32939 </v>
          </cell>
          <cell r="AA2401">
            <v>32939</v>
          </cell>
        </row>
        <row r="2402">
          <cell r="P2402">
            <v>0</v>
          </cell>
          <cell r="S2402" t="str">
            <v xml:space="preserve">32939 </v>
          </cell>
          <cell r="AA2402">
            <v>32939</v>
          </cell>
        </row>
        <row r="2403">
          <cell r="P2403">
            <v>0</v>
          </cell>
          <cell r="S2403" t="str">
            <v xml:space="preserve">32939 </v>
          </cell>
          <cell r="AA2403">
            <v>32939</v>
          </cell>
        </row>
        <row r="2404">
          <cell r="P2404">
            <v>0</v>
          </cell>
          <cell r="S2404" t="str">
            <v xml:space="preserve">32939 </v>
          </cell>
          <cell r="AA2404">
            <v>32939</v>
          </cell>
        </row>
        <row r="2405">
          <cell r="P2405">
            <v>0</v>
          </cell>
          <cell r="S2405" t="str">
            <v xml:space="preserve">32939 </v>
          </cell>
          <cell r="AA2405">
            <v>32939</v>
          </cell>
        </row>
        <row r="2406">
          <cell r="P2406">
            <v>0</v>
          </cell>
          <cell r="S2406" t="str">
            <v xml:space="preserve">32939 </v>
          </cell>
          <cell r="AA2406">
            <v>32939</v>
          </cell>
        </row>
        <row r="2407">
          <cell r="P2407">
            <v>0</v>
          </cell>
          <cell r="S2407" t="str">
            <v xml:space="preserve">32939 </v>
          </cell>
          <cell r="AA2407">
            <v>32939</v>
          </cell>
        </row>
        <row r="2408">
          <cell r="P2408">
            <v>0</v>
          </cell>
          <cell r="S2408" t="str">
            <v xml:space="preserve">32939 </v>
          </cell>
          <cell r="AA2408">
            <v>32939</v>
          </cell>
        </row>
        <row r="2409">
          <cell r="P2409">
            <v>0</v>
          </cell>
          <cell r="S2409" t="str">
            <v xml:space="preserve">32939 </v>
          </cell>
          <cell r="AA2409">
            <v>32939</v>
          </cell>
        </row>
        <row r="2410">
          <cell r="P2410">
            <v>0</v>
          </cell>
          <cell r="S2410" t="str">
            <v xml:space="preserve">32939 </v>
          </cell>
          <cell r="AA2410">
            <v>32939</v>
          </cell>
        </row>
        <row r="2411">
          <cell r="P2411">
            <v>0</v>
          </cell>
          <cell r="S2411" t="str">
            <v xml:space="preserve">32939 </v>
          </cell>
          <cell r="AA2411">
            <v>32939</v>
          </cell>
        </row>
        <row r="2412">
          <cell r="P2412">
            <v>0</v>
          </cell>
          <cell r="S2412" t="str">
            <v xml:space="preserve">32939 </v>
          </cell>
          <cell r="AA2412">
            <v>32939</v>
          </cell>
        </row>
        <row r="2413">
          <cell r="P2413">
            <v>0</v>
          </cell>
          <cell r="S2413" t="str">
            <v xml:space="preserve">32939 </v>
          </cell>
          <cell r="AA2413">
            <v>32939</v>
          </cell>
        </row>
        <row r="2414">
          <cell r="P2414">
            <v>0</v>
          </cell>
          <cell r="S2414" t="str">
            <v xml:space="preserve">32939 </v>
          </cell>
          <cell r="AA2414">
            <v>32939</v>
          </cell>
        </row>
        <row r="2415">
          <cell r="P2415">
            <v>0</v>
          </cell>
          <cell r="S2415" t="str">
            <v xml:space="preserve">32939 </v>
          </cell>
          <cell r="AA2415">
            <v>32939</v>
          </cell>
        </row>
        <row r="2416">
          <cell r="P2416">
            <v>0</v>
          </cell>
          <cell r="S2416" t="str">
            <v xml:space="preserve">32939 </v>
          </cell>
          <cell r="AA2416">
            <v>32939</v>
          </cell>
        </row>
        <row r="2417">
          <cell r="P2417">
            <v>0</v>
          </cell>
          <cell r="S2417" t="str">
            <v xml:space="preserve">32939 </v>
          </cell>
          <cell r="AA2417">
            <v>32939</v>
          </cell>
        </row>
        <row r="2418">
          <cell r="P2418">
            <v>0</v>
          </cell>
          <cell r="S2418" t="str">
            <v xml:space="preserve">32939 </v>
          </cell>
          <cell r="AA2418">
            <v>32939</v>
          </cell>
        </row>
        <row r="2419">
          <cell r="P2419">
            <v>0</v>
          </cell>
          <cell r="S2419" t="str">
            <v xml:space="preserve">32939 </v>
          </cell>
          <cell r="AA2419">
            <v>32939</v>
          </cell>
        </row>
        <row r="2420">
          <cell r="P2420">
            <v>0</v>
          </cell>
          <cell r="S2420" t="str">
            <v xml:space="preserve">32939 </v>
          </cell>
          <cell r="AA2420">
            <v>32939</v>
          </cell>
        </row>
        <row r="2421">
          <cell r="P2421">
            <v>0</v>
          </cell>
          <cell r="S2421" t="str">
            <v xml:space="preserve">32939 </v>
          </cell>
          <cell r="AA2421">
            <v>32939</v>
          </cell>
        </row>
        <row r="2422">
          <cell r="P2422">
            <v>0</v>
          </cell>
          <cell r="S2422" t="str">
            <v xml:space="preserve">32939 </v>
          </cell>
          <cell r="AA2422">
            <v>32939</v>
          </cell>
        </row>
        <row r="2423">
          <cell r="P2423">
            <v>0</v>
          </cell>
          <cell r="S2423" t="str">
            <v xml:space="preserve">32939 </v>
          </cell>
          <cell r="AA2423">
            <v>32939</v>
          </cell>
        </row>
        <row r="2424">
          <cell r="P2424">
            <v>0</v>
          </cell>
          <cell r="S2424" t="str">
            <v xml:space="preserve">32939 </v>
          </cell>
          <cell r="AA2424">
            <v>32939</v>
          </cell>
        </row>
        <row r="2425">
          <cell r="P2425">
            <v>0</v>
          </cell>
          <cell r="S2425" t="str">
            <v xml:space="preserve">32939 </v>
          </cell>
          <cell r="AA2425">
            <v>32939</v>
          </cell>
        </row>
        <row r="2426">
          <cell r="P2426">
            <v>0</v>
          </cell>
          <cell r="S2426" t="str">
            <v xml:space="preserve">32939 </v>
          </cell>
          <cell r="AA2426">
            <v>32939</v>
          </cell>
        </row>
        <row r="2427">
          <cell r="P2427">
            <v>0</v>
          </cell>
          <cell r="S2427" t="str">
            <v xml:space="preserve">32939 </v>
          </cell>
          <cell r="AA2427">
            <v>32939</v>
          </cell>
        </row>
        <row r="2428">
          <cell r="P2428">
            <v>0</v>
          </cell>
          <cell r="S2428" t="str">
            <v xml:space="preserve">32939 </v>
          </cell>
          <cell r="AA2428">
            <v>32939</v>
          </cell>
        </row>
        <row r="2429">
          <cell r="P2429">
            <v>0</v>
          </cell>
          <cell r="S2429" t="str">
            <v xml:space="preserve">32939 </v>
          </cell>
          <cell r="AA2429">
            <v>32939</v>
          </cell>
        </row>
        <row r="2430">
          <cell r="P2430">
            <v>0</v>
          </cell>
          <cell r="S2430" t="str">
            <v xml:space="preserve">32939 </v>
          </cell>
          <cell r="AA2430">
            <v>32939</v>
          </cell>
        </row>
        <row r="2431">
          <cell r="P2431">
            <v>0</v>
          </cell>
          <cell r="S2431" t="str">
            <v xml:space="preserve">32939 </v>
          </cell>
          <cell r="AA2431">
            <v>32939</v>
          </cell>
        </row>
        <row r="2432">
          <cell r="P2432">
            <v>0</v>
          </cell>
          <cell r="S2432" t="str">
            <v xml:space="preserve">32939 </v>
          </cell>
          <cell r="AA2432">
            <v>32939</v>
          </cell>
        </row>
        <row r="2433">
          <cell r="P2433">
            <v>0</v>
          </cell>
          <cell r="S2433" t="str">
            <v xml:space="preserve">32939 </v>
          </cell>
          <cell r="AA2433">
            <v>32939</v>
          </cell>
        </row>
        <row r="2434">
          <cell r="P2434">
            <v>0</v>
          </cell>
          <cell r="S2434" t="str">
            <v xml:space="preserve">32939 </v>
          </cell>
          <cell r="AA2434">
            <v>32939</v>
          </cell>
        </row>
        <row r="2435">
          <cell r="P2435">
            <v>0</v>
          </cell>
          <cell r="S2435" t="str">
            <v xml:space="preserve">32939 </v>
          </cell>
          <cell r="AA2435">
            <v>32939</v>
          </cell>
        </row>
        <row r="2436">
          <cell r="P2436">
            <v>0</v>
          </cell>
          <cell r="S2436" t="str">
            <v xml:space="preserve">32939 </v>
          </cell>
          <cell r="AA2436">
            <v>32939</v>
          </cell>
        </row>
        <row r="2437">
          <cell r="P2437">
            <v>0</v>
          </cell>
          <cell r="S2437" t="str">
            <v xml:space="preserve">32939 </v>
          </cell>
          <cell r="AA2437">
            <v>32939</v>
          </cell>
        </row>
        <row r="2438">
          <cell r="P2438">
            <v>0</v>
          </cell>
          <cell r="S2438" t="str">
            <v xml:space="preserve">32939 </v>
          </cell>
          <cell r="AA2438">
            <v>32939</v>
          </cell>
        </row>
        <row r="2439">
          <cell r="P2439">
            <v>0</v>
          </cell>
          <cell r="S2439" t="str">
            <v xml:space="preserve">32939 </v>
          </cell>
          <cell r="AA2439">
            <v>32939</v>
          </cell>
        </row>
        <row r="2440">
          <cell r="P2440">
            <v>0</v>
          </cell>
          <cell r="S2440" t="str">
            <v xml:space="preserve">32939 </v>
          </cell>
          <cell r="AA2440">
            <v>32939</v>
          </cell>
        </row>
        <row r="2441">
          <cell r="P2441">
            <v>0</v>
          </cell>
          <cell r="S2441" t="str">
            <v xml:space="preserve">32939 </v>
          </cell>
          <cell r="AA2441">
            <v>32939</v>
          </cell>
        </row>
        <row r="2442">
          <cell r="P2442">
            <v>0</v>
          </cell>
          <cell r="S2442" t="str">
            <v xml:space="preserve">32939 </v>
          </cell>
          <cell r="AA2442">
            <v>32939</v>
          </cell>
        </row>
        <row r="2443">
          <cell r="P2443">
            <v>0</v>
          </cell>
          <cell r="S2443" t="str">
            <v xml:space="preserve">32939 </v>
          </cell>
          <cell r="AA2443">
            <v>32939</v>
          </cell>
        </row>
        <row r="2444">
          <cell r="P2444">
            <v>0</v>
          </cell>
          <cell r="S2444" t="str">
            <v xml:space="preserve">32939 </v>
          </cell>
          <cell r="AA2444">
            <v>32939</v>
          </cell>
        </row>
        <row r="2445">
          <cell r="P2445">
            <v>0</v>
          </cell>
          <cell r="S2445" t="str">
            <v xml:space="preserve">32939 </v>
          </cell>
          <cell r="AA2445">
            <v>32939</v>
          </cell>
        </row>
        <row r="2446">
          <cell r="P2446">
            <v>0</v>
          </cell>
          <cell r="S2446" t="str">
            <v xml:space="preserve">32939 </v>
          </cell>
          <cell r="AA2446">
            <v>32939</v>
          </cell>
        </row>
        <row r="2447">
          <cell r="P2447">
            <v>0</v>
          </cell>
          <cell r="S2447" t="str">
            <v xml:space="preserve">32939 </v>
          </cell>
          <cell r="AA2447">
            <v>32939</v>
          </cell>
        </row>
        <row r="2448">
          <cell r="P2448">
            <v>0</v>
          </cell>
          <cell r="S2448" t="str">
            <v xml:space="preserve">32939 </v>
          </cell>
          <cell r="AA2448">
            <v>32939</v>
          </cell>
        </row>
        <row r="2449">
          <cell r="P2449">
            <v>0</v>
          </cell>
          <cell r="S2449" t="str">
            <v xml:space="preserve">32939 </v>
          </cell>
          <cell r="AA2449">
            <v>32939</v>
          </cell>
        </row>
        <row r="2450">
          <cell r="P2450">
            <v>0</v>
          </cell>
          <cell r="S2450" t="str">
            <v xml:space="preserve">32939 </v>
          </cell>
          <cell r="AA2450">
            <v>32939</v>
          </cell>
        </row>
        <row r="2451">
          <cell r="P2451">
            <v>0</v>
          </cell>
          <cell r="S2451" t="str">
            <v xml:space="preserve">32939 </v>
          </cell>
          <cell r="AA2451">
            <v>32939</v>
          </cell>
        </row>
        <row r="2452">
          <cell r="P2452">
            <v>0</v>
          </cell>
          <cell r="S2452" t="str">
            <v xml:space="preserve">32939 </v>
          </cell>
          <cell r="AA2452">
            <v>32939</v>
          </cell>
        </row>
        <row r="2453">
          <cell r="P2453">
            <v>0</v>
          </cell>
          <cell r="S2453" t="str">
            <v xml:space="preserve">32939 </v>
          </cell>
          <cell r="AA2453">
            <v>32939</v>
          </cell>
        </row>
        <row r="2454">
          <cell r="P2454">
            <v>0</v>
          </cell>
          <cell r="S2454" t="str">
            <v xml:space="preserve">32939 </v>
          </cell>
          <cell r="AA2454">
            <v>32939</v>
          </cell>
        </row>
        <row r="2455">
          <cell r="P2455">
            <v>0</v>
          </cell>
          <cell r="S2455" t="str">
            <v xml:space="preserve">32939 </v>
          </cell>
          <cell r="AA2455">
            <v>32939</v>
          </cell>
        </row>
        <row r="2456">
          <cell r="P2456">
            <v>0</v>
          </cell>
          <cell r="S2456" t="str">
            <v xml:space="preserve">32939 </v>
          </cell>
          <cell r="AA2456">
            <v>32939</v>
          </cell>
        </row>
        <row r="2457">
          <cell r="P2457">
            <v>0</v>
          </cell>
          <cell r="S2457" t="str">
            <v xml:space="preserve">32939 </v>
          </cell>
          <cell r="AA2457">
            <v>32939</v>
          </cell>
        </row>
        <row r="2458">
          <cell r="P2458">
            <v>0</v>
          </cell>
          <cell r="S2458" t="str">
            <v xml:space="preserve">32939 </v>
          </cell>
          <cell r="AA2458">
            <v>32939</v>
          </cell>
        </row>
        <row r="2459">
          <cell r="P2459">
            <v>0</v>
          </cell>
          <cell r="S2459" t="str">
            <v xml:space="preserve">32939 </v>
          </cell>
          <cell r="AA2459">
            <v>32939</v>
          </cell>
        </row>
        <row r="2460">
          <cell r="P2460">
            <v>0</v>
          </cell>
          <cell r="S2460" t="str">
            <v xml:space="preserve">32939 </v>
          </cell>
          <cell r="AA2460">
            <v>32939</v>
          </cell>
        </row>
        <row r="2461">
          <cell r="P2461">
            <v>0</v>
          </cell>
          <cell r="S2461" t="str">
            <v xml:space="preserve">32939 </v>
          </cell>
          <cell r="AA2461">
            <v>32939</v>
          </cell>
        </row>
        <row r="2462">
          <cell r="P2462">
            <v>0</v>
          </cell>
          <cell r="S2462" t="str">
            <v xml:space="preserve">32939 </v>
          </cell>
          <cell r="AA2462">
            <v>32939</v>
          </cell>
        </row>
        <row r="2463">
          <cell r="P2463">
            <v>0</v>
          </cell>
          <cell r="S2463" t="str">
            <v xml:space="preserve">32939 </v>
          </cell>
          <cell r="AA2463">
            <v>32939</v>
          </cell>
        </row>
        <row r="2464">
          <cell r="P2464">
            <v>0</v>
          </cell>
          <cell r="S2464" t="str">
            <v xml:space="preserve">32939 </v>
          </cell>
          <cell r="AA2464">
            <v>32939</v>
          </cell>
        </row>
        <row r="2465">
          <cell r="P2465">
            <v>0</v>
          </cell>
          <cell r="S2465" t="str">
            <v xml:space="preserve">32939 </v>
          </cell>
          <cell r="AA2465">
            <v>32939</v>
          </cell>
        </row>
        <row r="2466">
          <cell r="P2466">
            <v>0</v>
          </cell>
          <cell r="S2466" t="str">
            <v xml:space="preserve">32939 </v>
          </cell>
          <cell r="AA2466">
            <v>32939</v>
          </cell>
        </row>
        <row r="2467">
          <cell r="P2467">
            <v>0</v>
          </cell>
          <cell r="S2467" t="str">
            <v xml:space="preserve">32939 </v>
          </cell>
          <cell r="AA2467">
            <v>32939</v>
          </cell>
        </row>
        <row r="2468">
          <cell r="P2468">
            <v>0</v>
          </cell>
          <cell r="S2468" t="str">
            <v xml:space="preserve">32939 </v>
          </cell>
          <cell r="AA2468">
            <v>32939</v>
          </cell>
        </row>
        <row r="2469">
          <cell r="P2469">
            <v>0</v>
          </cell>
          <cell r="S2469" t="str">
            <v xml:space="preserve">32939 </v>
          </cell>
          <cell r="AA2469">
            <v>32939</v>
          </cell>
        </row>
        <row r="2470">
          <cell r="P2470">
            <v>0</v>
          </cell>
          <cell r="S2470" t="str">
            <v xml:space="preserve">32939 </v>
          </cell>
          <cell r="AA2470">
            <v>32939</v>
          </cell>
        </row>
        <row r="2471">
          <cell r="P2471">
            <v>0</v>
          </cell>
          <cell r="S2471" t="str">
            <v xml:space="preserve">32939 </v>
          </cell>
          <cell r="AA2471">
            <v>32939</v>
          </cell>
        </row>
        <row r="2472">
          <cell r="P2472">
            <v>0</v>
          </cell>
          <cell r="S2472" t="str">
            <v xml:space="preserve">32939 </v>
          </cell>
          <cell r="AA2472">
            <v>32939</v>
          </cell>
        </row>
        <row r="2473">
          <cell r="P2473">
            <v>0</v>
          </cell>
          <cell r="S2473" t="str">
            <v xml:space="preserve">32939 </v>
          </cell>
          <cell r="AA2473">
            <v>32939</v>
          </cell>
        </row>
        <row r="2474">
          <cell r="P2474">
            <v>0</v>
          </cell>
          <cell r="S2474" t="str">
            <v xml:space="preserve">32939 </v>
          </cell>
          <cell r="AA2474">
            <v>32939</v>
          </cell>
        </row>
        <row r="2475">
          <cell r="P2475">
            <v>0</v>
          </cell>
          <cell r="S2475" t="str">
            <v xml:space="preserve">32939 </v>
          </cell>
          <cell r="AA2475">
            <v>32939</v>
          </cell>
        </row>
        <row r="2476">
          <cell r="P2476">
            <v>0</v>
          </cell>
          <cell r="S2476" t="str">
            <v xml:space="preserve">32939 </v>
          </cell>
          <cell r="AA2476">
            <v>32939</v>
          </cell>
        </row>
        <row r="2477">
          <cell r="P2477">
            <v>0</v>
          </cell>
          <cell r="S2477" t="str">
            <v xml:space="preserve">32939 </v>
          </cell>
          <cell r="AA2477">
            <v>32939</v>
          </cell>
        </row>
        <row r="2478">
          <cell r="P2478">
            <v>0</v>
          </cell>
          <cell r="S2478" t="str">
            <v xml:space="preserve">32939 </v>
          </cell>
          <cell r="AA2478">
            <v>32939</v>
          </cell>
        </row>
        <row r="2479">
          <cell r="P2479">
            <v>0</v>
          </cell>
          <cell r="S2479" t="str">
            <v xml:space="preserve">32939 </v>
          </cell>
          <cell r="AA2479">
            <v>32939</v>
          </cell>
        </row>
        <row r="2480">
          <cell r="P2480">
            <v>0</v>
          </cell>
          <cell r="S2480" t="str">
            <v xml:space="preserve">32939 </v>
          </cell>
          <cell r="AA2480">
            <v>32939</v>
          </cell>
        </row>
        <row r="2481">
          <cell r="P2481">
            <v>0</v>
          </cell>
          <cell r="S2481" t="str">
            <v xml:space="preserve">32939 </v>
          </cell>
          <cell r="AA2481">
            <v>32939</v>
          </cell>
        </row>
        <row r="2482">
          <cell r="P2482">
            <v>0</v>
          </cell>
          <cell r="S2482" t="str">
            <v xml:space="preserve">32939 </v>
          </cell>
          <cell r="AA2482">
            <v>32939</v>
          </cell>
        </row>
        <row r="2483">
          <cell r="P2483">
            <v>0</v>
          </cell>
          <cell r="S2483" t="str">
            <v xml:space="preserve">32939 </v>
          </cell>
          <cell r="AA2483">
            <v>32939</v>
          </cell>
        </row>
        <row r="2484">
          <cell r="P2484">
            <v>0</v>
          </cell>
          <cell r="S2484" t="str">
            <v xml:space="preserve">32939 </v>
          </cell>
          <cell r="AA2484">
            <v>32939</v>
          </cell>
        </row>
        <row r="2485">
          <cell r="P2485">
            <v>0</v>
          </cell>
          <cell r="S2485" t="str">
            <v xml:space="preserve">32939 </v>
          </cell>
          <cell r="AA2485">
            <v>32939</v>
          </cell>
        </row>
        <row r="2486">
          <cell r="P2486">
            <v>0</v>
          </cell>
          <cell r="S2486" t="str">
            <v xml:space="preserve">32939 </v>
          </cell>
          <cell r="AA2486">
            <v>32939</v>
          </cell>
        </row>
        <row r="2487">
          <cell r="P2487">
            <v>0</v>
          </cell>
          <cell r="S2487" t="str">
            <v xml:space="preserve">32939 </v>
          </cell>
          <cell r="AA2487">
            <v>32939</v>
          </cell>
        </row>
        <row r="2488">
          <cell r="P2488">
            <v>0</v>
          </cell>
          <cell r="S2488" t="str">
            <v xml:space="preserve">32939 </v>
          </cell>
          <cell r="AA2488">
            <v>32939</v>
          </cell>
        </row>
        <row r="2489">
          <cell r="P2489">
            <v>0</v>
          </cell>
          <cell r="S2489" t="str">
            <v xml:space="preserve">32939 </v>
          </cell>
          <cell r="AA2489">
            <v>32939</v>
          </cell>
        </row>
        <row r="2490">
          <cell r="P2490">
            <v>0</v>
          </cell>
          <cell r="S2490" t="str">
            <v xml:space="preserve">32939 </v>
          </cell>
          <cell r="AA2490">
            <v>32939</v>
          </cell>
        </row>
        <row r="2491">
          <cell r="P2491">
            <v>0</v>
          </cell>
          <cell r="S2491" t="str">
            <v xml:space="preserve">32939 </v>
          </cell>
          <cell r="AA2491">
            <v>32939</v>
          </cell>
        </row>
        <row r="2492">
          <cell r="P2492">
            <v>0</v>
          </cell>
          <cell r="S2492" t="str">
            <v xml:space="preserve">32939 </v>
          </cell>
          <cell r="AA2492">
            <v>32939</v>
          </cell>
        </row>
        <row r="2493">
          <cell r="P2493">
            <v>0</v>
          </cell>
          <cell r="S2493" t="str">
            <v xml:space="preserve">32939 </v>
          </cell>
          <cell r="AA2493">
            <v>32939</v>
          </cell>
        </row>
        <row r="2494">
          <cell r="P2494">
            <v>0</v>
          </cell>
          <cell r="S2494" t="str">
            <v xml:space="preserve">32939 </v>
          </cell>
          <cell r="AA2494">
            <v>32939</v>
          </cell>
        </row>
        <row r="2495">
          <cell r="P2495">
            <v>0</v>
          </cell>
          <cell r="S2495" t="str">
            <v xml:space="preserve">32939 </v>
          </cell>
          <cell r="AA2495">
            <v>32939</v>
          </cell>
        </row>
        <row r="2496">
          <cell r="P2496">
            <v>0</v>
          </cell>
          <cell r="S2496" t="str">
            <v xml:space="preserve">32939 </v>
          </cell>
          <cell r="AA2496">
            <v>32939</v>
          </cell>
        </row>
        <row r="2497">
          <cell r="P2497">
            <v>0</v>
          </cell>
          <cell r="S2497" t="str">
            <v xml:space="preserve">32939 </v>
          </cell>
          <cell r="AA2497">
            <v>32939</v>
          </cell>
        </row>
        <row r="2498">
          <cell r="P2498">
            <v>0</v>
          </cell>
          <cell r="S2498" t="str">
            <v xml:space="preserve">32939 </v>
          </cell>
          <cell r="AA2498">
            <v>32939</v>
          </cell>
        </row>
        <row r="2499">
          <cell r="P2499">
            <v>0</v>
          </cell>
          <cell r="S2499" t="str">
            <v xml:space="preserve">32939 </v>
          </cell>
          <cell r="AA2499">
            <v>32939</v>
          </cell>
        </row>
        <row r="2500">
          <cell r="P2500">
            <v>0</v>
          </cell>
          <cell r="S2500" t="str">
            <v xml:space="preserve">32939 </v>
          </cell>
          <cell r="AA2500">
            <v>32939</v>
          </cell>
        </row>
        <row r="2501">
          <cell r="P2501">
            <v>0</v>
          </cell>
          <cell r="S2501" t="str">
            <v xml:space="preserve">32939 </v>
          </cell>
          <cell r="AA2501">
            <v>32939</v>
          </cell>
        </row>
        <row r="2502">
          <cell r="P2502">
            <v>0</v>
          </cell>
          <cell r="S2502" t="str">
            <v xml:space="preserve">32939 </v>
          </cell>
          <cell r="AA2502">
            <v>32939</v>
          </cell>
        </row>
        <row r="2503">
          <cell r="P2503">
            <v>0</v>
          </cell>
          <cell r="S2503" t="str">
            <v xml:space="preserve">32939 </v>
          </cell>
          <cell r="AA2503">
            <v>32939</v>
          </cell>
        </row>
        <row r="2504">
          <cell r="P2504">
            <v>0</v>
          </cell>
          <cell r="S2504" t="str">
            <v xml:space="preserve">32939 </v>
          </cell>
          <cell r="AA2504">
            <v>32939</v>
          </cell>
        </row>
        <row r="2505">
          <cell r="P2505">
            <v>0</v>
          </cell>
          <cell r="S2505" t="str">
            <v xml:space="preserve">32939 </v>
          </cell>
          <cell r="AA2505">
            <v>32939</v>
          </cell>
        </row>
        <row r="2506">
          <cell r="P2506">
            <v>0</v>
          </cell>
          <cell r="S2506" t="str">
            <v xml:space="preserve">32939 </v>
          </cell>
          <cell r="AA2506">
            <v>32939</v>
          </cell>
        </row>
        <row r="2507">
          <cell r="P2507">
            <v>0</v>
          </cell>
          <cell r="S2507" t="str">
            <v xml:space="preserve">32939 </v>
          </cell>
          <cell r="AA2507">
            <v>32939</v>
          </cell>
        </row>
        <row r="2508">
          <cell r="P2508">
            <v>0</v>
          </cell>
          <cell r="S2508" t="str">
            <v xml:space="preserve">32939 </v>
          </cell>
          <cell r="AA2508">
            <v>32939</v>
          </cell>
        </row>
        <row r="2509">
          <cell r="P2509">
            <v>0</v>
          </cell>
          <cell r="S2509" t="str">
            <v xml:space="preserve">32939 </v>
          </cell>
          <cell r="AA2509">
            <v>32939</v>
          </cell>
        </row>
        <row r="2510">
          <cell r="P2510">
            <v>0</v>
          </cell>
          <cell r="S2510" t="str">
            <v xml:space="preserve">32939 </v>
          </cell>
          <cell r="AA2510">
            <v>32939</v>
          </cell>
        </row>
        <row r="2511">
          <cell r="P2511">
            <v>0</v>
          </cell>
          <cell r="S2511" t="str">
            <v xml:space="preserve">32939 </v>
          </cell>
          <cell r="AA2511">
            <v>32939</v>
          </cell>
        </row>
        <row r="2512">
          <cell r="P2512">
            <v>0</v>
          </cell>
          <cell r="S2512" t="str">
            <v xml:space="preserve">32939 </v>
          </cell>
          <cell r="AA2512">
            <v>32939</v>
          </cell>
        </row>
        <row r="2513">
          <cell r="P2513">
            <v>0</v>
          </cell>
          <cell r="S2513" t="str">
            <v xml:space="preserve">32939 </v>
          </cell>
          <cell r="AA2513">
            <v>32939</v>
          </cell>
        </row>
        <row r="2514">
          <cell r="P2514">
            <v>0</v>
          </cell>
          <cell r="S2514" t="str">
            <v xml:space="preserve">32939 </v>
          </cell>
          <cell r="AA2514">
            <v>32939</v>
          </cell>
        </row>
        <row r="2515">
          <cell r="P2515">
            <v>0</v>
          </cell>
          <cell r="S2515" t="str">
            <v xml:space="preserve">32939 </v>
          </cell>
          <cell r="AA2515">
            <v>32939</v>
          </cell>
        </row>
        <row r="2516">
          <cell r="P2516">
            <v>0</v>
          </cell>
          <cell r="S2516" t="str">
            <v xml:space="preserve">32939 </v>
          </cell>
          <cell r="AA2516">
            <v>32939</v>
          </cell>
        </row>
        <row r="2517">
          <cell r="P2517">
            <v>0</v>
          </cell>
          <cell r="S2517" t="str">
            <v xml:space="preserve">32939 </v>
          </cell>
          <cell r="AA2517">
            <v>32939</v>
          </cell>
        </row>
        <row r="2518">
          <cell r="P2518">
            <v>0</v>
          </cell>
          <cell r="S2518" t="str">
            <v xml:space="preserve">32939 </v>
          </cell>
          <cell r="AA2518">
            <v>32939</v>
          </cell>
        </row>
        <row r="2519">
          <cell r="P2519">
            <v>0</v>
          </cell>
          <cell r="S2519" t="str">
            <v xml:space="preserve">32939 </v>
          </cell>
          <cell r="AA2519">
            <v>32939</v>
          </cell>
        </row>
        <row r="2520">
          <cell r="P2520">
            <v>0</v>
          </cell>
          <cell r="S2520" t="str">
            <v xml:space="preserve">32939 </v>
          </cell>
          <cell r="AA2520">
            <v>32939</v>
          </cell>
        </row>
        <row r="2521">
          <cell r="P2521">
            <v>0</v>
          </cell>
          <cell r="S2521" t="str">
            <v xml:space="preserve">32939 </v>
          </cell>
          <cell r="AA2521">
            <v>32939</v>
          </cell>
        </row>
        <row r="2522">
          <cell r="P2522">
            <v>0</v>
          </cell>
          <cell r="S2522" t="str">
            <v xml:space="preserve">32939 </v>
          </cell>
          <cell r="AA2522">
            <v>32939</v>
          </cell>
        </row>
        <row r="2523">
          <cell r="P2523">
            <v>0</v>
          </cell>
          <cell r="S2523" t="str">
            <v xml:space="preserve">32939 </v>
          </cell>
          <cell r="AA2523">
            <v>32939</v>
          </cell>
        </row>
        <row r="2524">
          <cell r="P2524">
            <v>0</v>
          </cell>
          <cell r="S2524" t="str">
            <v xml:space="preserve">32939 </v>
          </cell>
          <cell r="AA2524">
            <v>32939</v>
          </cell>
        </row>
        <row r="2525">
          <cell r="P2525">
            <v>0</v>
          </cell>
          <cell r="S2525" t="str">
            <v xml:space="preserve">32939 </v>
          </cell>
          <cell r="AA2525">
            <v>32939</v>
          </cell>
        </row>
        <row r="2526">
          <cell r="P2526">
            <v>0</v>
          </cell>
          <cell r="S2526" t="str">
            <v xml:space="preserve">32939 </v>
          </cell>
          <cell r="AA2526">
            <v>32939</v>
          </cell>
        </row>
        <row r="2527">
          <cell r="P2527">
            <v>0</v>
          </cell>
          <cell r="S2527" t="str">
            <v xml:space="preserve">32939 </v>
          </cell>
          <cell r="AA2527">
            <v>32939</v>
          </cell>
        </row>
        <row r="2528">
          <cell r="P2528">
            <v>0</v>
          </cell>
          <cell r="S2528" t="str">
            <v xml:space="preserve">32939 </v>
          </cell>
          <cell r="AA2528">
            <v>32939</v>
          </cell>
        </row>
        <row r="2529">
          <cell r="P2529">
            <v>0</v>
          </cell>
          <cell r="S2529" t="str">
            <v xml:space="preserve">32939 </v>
          </cell>
          <cell r="AA2529">
            <v>32939</v>
          </cell>
        </row>
        <row r="2530">
          <cell r="P2530">
            <v>0</v>
          </cell>
          <cell r="S2530" t="str">
            <v xml:space="preserve">32939 </v>
          </cell>
          <cell r="AA2530">
            <v>32939</v>
          </cell>
        </row>
        <row r="2531">
          <cell r="P2531">
            <v>0</v>
          </cell>
          <cell r="S2531" t="str">
            <v xml:space="preserve">32939 </v>
          </cell>
          <cell r="AA2531">
            <v>32939</v>
          </cell>
        </row>
        <row r="2532">
          <cell r="P2532">
            <v>0</v>
          </cell>
          <cell r="S2532" t="str">
            <v xml:space="preserve">32939 </v>
          </cell>
          <cell r="AA2532">
            <v>32939</v>
          </cell>
        </row>
        <row r="2533">
          <cell r="P2533">
            <v>0</v>
          </cell>
          <cell r="S2533" t="str">
            <v xml:space="preserve">32939 </v>
          </cell>
          <cell r="AA2533">
            <v>32939</v>
          </cell>
        </row>
        <row r="2534">
          <cell r="P2534">
            <v>0</v>
          </cell>
          <cell r="S2534" t="str">
            <v xml:space="preserve">32939 </v>
          </cell>
          <cell r="AA2534">
            <v>32939</v>
          </cell>
        </row>
        <row r="2535">
          <cell r="P2535">
            <v>0</v>
          </cell>
          <cell r="S2535" t="str">
            <v xml:space="preserve">32939 </v>
          </cell>
          <cell r="AA2535">
            <v>32939</v>
          </cell>
        </row>
        <row r="2536">
          <cell r="P2536">
            <v>0</v>
          </cell>
          <cell r="S2536" t="str">
            <v xml:space="preserve">32939 </v>
          </cell>
          <cell r="AA2536">
            <v>32939</v>
          </cell>
        </row>
        <row r="2537">
          <cell r="P2537">
            <v>0</v>
          </cell>
          <cell r="S2537" t="str">
            <v xml:space="preserve">32939 </v>
          </cell>
          <cell r="AA2537">
            <v>32939</v>
          </cell>
        </row>
        <row r="2538">
          <cell r="P2538">
            <v>0</v>
          </cell>
          <cell r="S2538" t="str">
            <v xml:space="preserve">32939 </v>
          </cell>
          <cell r="AA2538">
            <v>32939</v>
          </cell>
        </row>
        <row r="2539">
          <cell r="P2539">
            <v>0</v>
          </cell>
          <cell r="S2539" t="str">
            <v xml:space="preserve">32939 </v>
          </cell>
          <cell r="AA2539">
            <v>32939</v>
          </cell>
        </row>
        <row r="2540">
          <cell r="P2540">
            <v>0</v>
          </cell>
          <cell r="S2540" t="str">
            <v xml:space="preserve">32939 </v>
          </cell>
          <cell r="AA2540">
            <v>32939</v>
          </cell>
        </row>
        <row r="2541">
          <cell r="P2541">
            <v>0</v>
          </cell>
          <cell r="S2541" t="str">
            <v xml:space="preserve">32939 </v>
          </cell>
          <cell r="AA2541">
            <v>32939</v>
          </cell>
        </row>
        <row r="2542">
          <cell r="P2542">
            <v>0</v>
          </cell>
          <cell r="S2542" t="str">
            <v xml:space="preserve">32939 </v>
          </cell>
          <cell r="AA2542">
            <v>32939</v>
          </cell>
        </row>
        <row r="2543">
          <cell r="P2543">
            <v>0</v>
          </cell>
          <cell r="S2543" t="str">
            <v xml:space="preserve">32939 </v>
          </cell>
          <cell r="AA2543">
            <v>32939</v>
          </cell>
        </row>
        <row r="2544">
          <cell r="P2544">
            <v>0</v>
          </cell>
          <cell r="S2544" t="str">
            <v xml:space="preserve">32939 </v>
          </cell>
          <cell r="AA2544">
            <v>32939</v>
          </cell>
        </row>
        <row r="2545">
          <cell r="P2545">
            <v>0</v>
          </cell>
          <cell r="S2545" t="str">
            <v xml:space="preserve">32939 </v>
          </cell>
          <cell r="AA2545">
            <v>32939</v>
          </cell>
        </row>
        <row r="2546">
          <cell r="P2546">
            <v>0</v>
          </cell>
          <cell r="S2546" t="str">
            <v xml:space="preserve">32939 </v>
          </cell>
          <cell r="AA2546">
            <v>32939</v>
          </cell>
        </row>
        <row r="2547">
          <cell r="P2547">
            <v>0</v>
          </cell>
          <cell r="S2547" t="str">
            <v xml:space="preserve">32939 </v>
          </cell>
          <cell r="AA2547">
            <v>32939</v>
          </cell>
        </row>
        <row r="2548">
          <cell r="P2548">
            <v>0</v>
          </cell>
          <cell r="S2548" t="str">
            <v xml:space="preserve">32939 </v>
          </cell>
          <cell r="AA2548">
            <v>32939</v>
          </cell>
        </row>
        <row r="2549">
          <cell r="P2549">
            <v>0</v>
          </cell>
          <cell r="S2549" t="str">
            <v xml:space="preserve">32939 </v>
          </cell>
          <cell r="AA2549">
            <v>32939</v>
          </cell>
        </row>
        <row r="2550">
          <cell r="P2550">
            <v>0</v>
          </cell>
          <cell r="S2550" t="str">
            <v xml:space="preserve">32939 </v>
          </cell>
          <cell r="AA2550">
            <v>32939</v>
          </cell>
        </row>
        <row r="2551">
          <cell r="P2551">
            <v>0</v>
          </cell>
          <cell r="S2551" t="str">
            <v xml:space="preserve">32939 </v>
          </cell>
          <cell r="AA2551">
            <v>32939</v>
          </cell>
        </row>
        <row r="2552">
          <cell r="P2552">
            <v>0</v>
          </cell>
          <cell r="S2552" t="str">
            <v xml:space="preserve">32939 </v>
          </cell>
          <cell r="AA2552">
            <v>32939</v>
          </cell>
        </row>
        <row r="2553">
          <cell r="P2553">
            <v>0</v>
          </cell>
          <cell r="S2553" t="str">
            <v xml:space="preserve">32939 </v>
          </cell>
          <cell r="AA2553">
            <v>32939</v>
          </cell>
        </row>
        <row r="2554">
          <cell r="P2554">
            <v>0</v>
          </cell>
          <cell r="S2554" t="str">
            <v xml:space="preserve">32939 </v>
          </cell>
          <cell r="AA2554">
            <v>32939</v>
          </cell>
        </row>
        <row r="2555">
          <cell r="P2555">
            <v>0</v>
          </cell>
          <cell r="S2555" t="str">
            <v xml:space="preserve">32939 </v>
          </cell>
          <cell r="AA2555">
            <v>32939</v>
          </cell>
        </row>
        <row r="2556">
          <cell r="P2556">
            <v>0</v>
          </cell>
          <cell r="S2556" t="str">
            <v xml:space="preserve">32939 </v>
          </cell>
          <cell r="AA2556">
            <v>32939</v>
          </cell>
        </row>
        <row r="2557">
          <cell r="P2557">
            <v>0</v>
          </cell>
          <cell r="S2557" t="str">
            <v xml:space="preserve">32939 </v>
          </cell>
          <cell r="AA2557">
            <v>32939</v>
          </cell>
        </row>
        <row r="2558">
          <cell r="P2558">
            <v>0</v>
          </cell>
          <cell r="S2558" t="str">
            <v xml:space="preserve">32939 </v>
          </cell>
          <cell r="AA2558">
            <v>32939</v>
          </cell>
        </row>
        <row r="2559">
          <cell r="P2559">
            <v>0</v>
          </cell>
          <cell r="S2559" t="str">
            <v xml:space="preserve">32939 </v>
          </cell>
          <cell r="AA2559">
            <v>32939</v>
          </cell>
        </row>
        <row r="2560">
          <cell r="P2560">
            <v>0</v>
          </cell>
          <cell r="S2560" t="str">
            <v xml:space="preserve">32939 </v>
          </cell>
          <cell r="AA2560">
            <v>32939</v>
          </cell>
        </row>
        <row r="2561">
          <cell r="P2561">
            <v>0</v>
          </cell>
          <cell r="S2561" t="str">
            <v xml:space="preserve">32939 </v>
          </cell>
          <cell r="AA2561">
            <v>32939</v>
          </cell>
        </row>
        <row r="2562">
          <cell r="P2562">
            <v>0</v>
          </cell>
          <cell r="S2562" t="str">
            <v xml:space="preserve">32939 </v>
          </cell>
          <cell r="AA2562">
            <v>32939</v>
          </cell>
        </row>
        <row r="2563">
          <cell r="P2563">
            <v>0</v>
          </cell>
          <cell r="S2563" t="str">
            <v xml:space="preserve">32939 </v>
          </cell>
          <cell r="AA2563">
            <v>32939</v>
          </cell>
        </row>
        <row r="2564">
          <cell r="P2564">
            <v>0</v>
          </cell>
          <cell r="S2564" t="str">
            <v xml:space="preserve">32939 </v>
          </cell>
          <cell r="AA2564">
            <v>32939</v>
          </cell>
        </row>
        <row r="2565">
          <cell r="P2565">
            <v>0</v>
          </cell>
          <cell r="S2565" t="str">
            <v xml:space="preserve">32939 </v>
          </cell>
          <cell r="AA2565">
            <v>32939</v>
          </cell>
        </row>
        <row r="2566">
          <cell r="P2566">
            <v>0</v>
          </cell>
          <cell r="S2566" t="str">
            <v xml:space="preserve">32939 </v>
          </cell>
          <cell r="AA2566">
            <v>32939</v>
          </cell>
        </row>
        <row r="2567">
          <cell r="P2567">
            <v>0</v>
          </cell>
          <cell r="S2567" t="str">
            <v xml:space="preserve">32939 </v>
          </cell>
          <cell r="AA2567">
            <v>32939</v>
          </cell>
        </row>
        <row r="2568">
          <cell r="P2568">
            <v>0</v>
          </cell>
          <cell r="S2568" t="str">
            <v xml:space="preserve">32939 </v>
          </cell>
          <cell r="AA2568">
            <v>32939</v>
          </cell>
        </row>
        <row r="2569">
          <cell r="P2569">
            <v>0</v>
          </cell>
          <cell r="S2569" t="str">
            <v xml:space="preserve">32939 </v>
          </cell>
          <cell r="AA2569">
            <v>32939</v>
          </cell>
        </row>
        <row r="2570">
          <cell r="P2570">
            <v>0</v>
          </cell>
          <cell r="S2570" t="str">
            <v xml:space="preserve">32939 </v>
          </cell>
          <cell r="AA2570">
            <v>32939</v>
          </cell>
        </row>
        <row r="2571">
          <cell r="P2571">
            <v>0</v>
          </cell>
          <cell r="S2571" t="str">
            <v xml:space="preserve">32939 </v>
          </cell>
          <cell r="AA2571">
            <v>32939</v>
          </cell>
        </row>
        <row r="2572">
          <cell r="P2572">
            <v>0</v>
          </cell>
          <cell r="S2572" t="str">
            <v xml:space="preserve">32939 </v>
          </cell>
          <cell r="AA2572">
            <v>32939</v>
          </cell>
        </row>
        <row r="2573">
          <cell r="P2573">
            <v>0</v>
          </cell>
          <cell r="S2573" t="str">
            <v xml:space="preserve">32939 </v>
          </cell>
          <cell r="AA2573">
            <v>32939</v>
          </cell>
        </row>
        <row r="2574">
          <cell r="P2574">
            <v>0</v>
          </cell>
          <cell r="S2574" t="str">
            <v xml:space="preserve">32939 </v>
          </cell>
          <cell r="AA2574">
            <v>32939</v>
          </cell>
        </row>
        <row r="2575">
          <cell r="P2575">
            <v>0</v>
          </cell>
          <cell r="S2575" t="str">
            <v xml:space="preserve">32939 </v>
          </cell>
          <cell r="AA2575">
            <v>32939</v>
          </cell>
        </row>
        <row r="2576">
          <cell r="P2576">
            <v>0</v>
          </cell>
          <cell r="S2576" t="str">
            <v xml:space="preserve">32939 </v>
          </cell>
          <cell r="AA2576">
            <v>32939</v>
          </cell>
        </row>
        <row r="2577">
          <cell r="P2577">
            <v>0</v>
          </cell>
          <cell r="S2577" t="str">
            <v xml:space="preserve">32939 </v>
          </cell>
          <cell r="AA2577">
            <v>32939</v>
          </cell>
        </row>
        <row r="2578">
          <cell r="P2578">
            <v>0</v>
          </cell>
          <cell r="S2578" t="str">
            <v xml:space="preserve">32939 </v>
          </cell>
          <cell r="AA2578">
            <v>32939</v>
          </cell>
        </row>
        <row r="2579">
          <cell r="P2579">
            <v>0</v>
          </cell>
          <cell r="S2579" t="str">
            <v xml:space="preserve">32939 </v>
          </cell>
          <cell r="AA2579">
            <v>32939</v>
          </cell>
        </row>
        <row r="2580">
          <cell r="P2580">
            <v>0</v>
          </cell>
          <cell r="S2580" t="str">
            <v xml:space="preserve">32939 </v>
          </cell>
          <cell r="AA2580">
            <v>32939</v>
          </cell>
        </row>
        <row r="2581">
          <cell r="P2581">
            <v>0</v>
          </cell>
          <cell r="S2581" t="str">
            <v xml:space="preserve">32939 </v>
          </cell>
          <cell r="AA2581">
            <v>32939</v>
          </cell>
        </row>
        <row r="2582">
          <cell r="P2582">
            <v>0</v>
          </cell>
          <cell r="S2582" t="str">
            <v xml:space="preserve">32939 </v>
          </cell>
          <cell r="AA2582">
            <v>32939</v>
          </cell>
        </row>
        <row r="2583">
          <cell r="P2583">
            <v>0</v>
          </cell>
          <cell r="S2583" t="str">
            <v xml:space="preserve">32939 </v>
          </cell>
          <cell r="AA2583">
            <v>32939</v>
          </cell>
        </row>
        <row r="2584">
          <cell r="P2584">
            <v>0</v>
          </cell>
          <cell r="S2584" t="str">
            <v xml:space="preserve">32939 </v>
          </cell>
          <cell r="AA2584">
            <v>32939</v>
          </cell>
        </row>
        <row r="2585">
          <cell r="P2585">
            <v>0</v>
          </cell>
          <cell r="S2585" t="str">
            <v xml:space="preserve">32939 </v>
          </cell>
          <cell r="AA2585">
            <v>32939</v>
          </cell>
        </row>
        <row r="2586">
          <cell r="P2586">
            <v>0</v>
          </cell>
          <cell r="S2586" t="str">
            <v xml:space="preserve">32939 </v>
          </cell>
          <cell r="AA2586">
            <v>32939</v>
          </cell>
        </row>
        <row r="2587">
          <cell r="P2587">
            <v>0</v>
          </cell>
          <cell r="S2587" t="str">
            <v xml:space="preserve">32939 </v>
          </cell>
          <cell r="AA2587">
            <v>32939</v>
          </cell>
        </row>
        <row r="2588">
          <cell r="P2588">
            <v>0</v>
          </cell>
          <cell r="S2588" t="str">
            <v xml:space="preserve">32939 </v>
          </cell>
          <cell r="AA2588">
            <v>32939</v>
          </cell>
        </row>
        <row r="2589">
          <cell r="P2589">
            <v>0</v>
          </cell>
          <cell r="S2589" t="str">
            <v xml:space="preserve">32939 </v>
          </cell>
          <cell r="AA2589">
            <v>32939</v>
          </cell>
        </row>
        <row r="2590">
          <cell r="P2590">
            <v>0</v>
          </cell>
          <cell r="S2590" t="str">
            <v xml:space="preserve">32939 </v>
          </cell>
          <cell r="AA2590">
            <v>32939</v>
          </cell>
        </row>
        <row r="2591">
          <cell r="P2591">
            <v>0</v>
          </cell>
          <cell r="S2591" t="str">
            <v xml:space="preserve">32939 </v>
          </cell>
          <cell r="AA2591">
            <v>32939</v>
          </cell>
        </row>
        <row r="2592">
          <cell r="P2592">
            <v>0</v>
          </cell>
          <cell r="S2592" t="str">
            <v xml:space="preserve">32939 </v>
          </cell>
          <cell r="AA2592">
            <v>32939</v>
          </cell>
        </row>
        <row r="2593">
          <cell r="P2593">
            <v>0</v>
          </cell>
          <cell r="S2593" t="str">
            <v xml:space="preserve">32939 </v>
          </cell>
          <cell r="AA2593">
            <v>32939</v>
          </cell>
        </row>
        <row r="2594">
          <cell r="P2594">
            <v>0</v>
          </cell>
          <cell r="S2594" t="str">
            <v xml:space="preserve">32939 </v>
          </cell>
          <cell r="AA2594">
            <v>32939</v>
          </cell>
        </row>
        <row r="2595">
          <cell r="P2595">
            <v>0</v>
          </cell>
          <cell r="S2595" t="str">
            <v xml:space="preserve">32939 </v>
          </cell>
          <cell r="AA2595">
            <v>32939</v>
          </cell>
        </row>
        <row r="2596">
          <cell r="P2596">
            <v>0</v>
          </cell>
          <cell r="S2596" t="str">
            <v xml:space="preserve">32939 </v>
          </cell>
          <cell r="AA2596">
            <v>32939</v>
          </cell>
        </row>
        <row r="2597">
          <cell r="P2597">
            <v>0</v>
          </cell>
          <cell r="S2597" t="str">
            <v xml:space="preserve">32939 </v>
          </cell>
          <cell r="AA2597">
            <v>32939</v>
          </cell>
        </row>
        <row r="2598">
          <cell r="P2598">
            <v>0</v>
          </cell>
          <cell r="S2598" t="str">
            <v xml:space="preserve">32939 </v>
          </cell>
          <cell r="AA2598">
            <v>32939</v>
          </cell>
        </row>
        <row r="2599">
          <cell r="P2599">
            <v>0</v>
          </cell>
          <cell r="S2599" t="str">
            <v xml:space="preserve">32939 </v>
          </cell>
          <cell r="AA2599">
            <v>32939</v>
          </cell>
        </row>
        <row r="2600">
          <cell r="P2600">
            <v>0</v>
          </cell>
          <cell r="S2600" t="str">
            <v xml:space="preserve">32939 </v>
          </cell>
          <cell r="AA2600">
            <v>32939</v>
          </cell>
        </row>
        <row r="2601">
          <cell r="P2601">
            <v>0</v>
          </cell>
          <cell r="S2601" t="str">
            <v xml:space="preserve">32939 </v>
          </cell>
          <cell r="AA2601">
            <v>32939</v>
          </cell>
        </row>
        <row r="2602">
          <cell r="P2602">
            <v>0</v>
          </cell>
          <cell r="S2602" t="str">
            <v xml:space="preserve">32939 </v>
          </cell>
          <cell r="AA2602">
            <v>32939</v>
          </cell>
        </row>
        <row r="2603">
          <cell r="P2603">
            <v>0</v>
          </cell>
          <cell r="S2603" t="str">
            <v xml:space="preserve">32939 </v>
          </cell>
          <cell r="AA2603">
            <v>32939</v>
          </cell>
        </row>
        <row r="2604">
          <cell r="P2604">
            <v>0</v>
          </cell>
          <cell r="S2604" t="str">
            <v xml:space="preserve">32939 </v>
          </cell>
          <cell r="AA2604">
            <v>32939</v>
          </cell>
        </row>
        <row r="2605">
          <cell r="P2605">
            <v>0</v>
          </cell>
          <cell r="S2605" t="str">
            <v xml:space="preserve">32939 </v>
          </cell>
          <cell r="AA2605">
            <v>32939</v>
          </cell>
        </row>
        <row r="2606">
          <cell r="P2606">
            <v>0</v>
          </cell>
          <cell r="S2606" t="str">
            <v xml:space="preserve">32939 </v>
          </cell>
          <cell r="AA2606">
            <v>32939</v>
          </cell>
        </row>
        <row r="2607">
          <cell r="P2607">
            <v>0</v>
          </cell>
          <cell r="S2607" t="str">
            <v xml:space="preserve">32939 </v>
          </cell>
          <cell r="AA2607">
            <v>32939</v>
          </cell>
        </row>
        <row r="2608">
          <cell r="P2608">
            <v>0</v>
          </cell>
          <cell r="S2608" t="str">
            <v xml:space="preserve">32939 </v>
          </cell>
          <cell r="AA2608">
            <v>32939</v>
          </cell>
        </row>
        <row r="2609">
          <cell r="P2609">
            <v>0</v>
          </cell>
          <cell r="S2609" t="str">
            <v xml:space="preserve">32939 </v>
          </cell>
          <cell r="AA2609">
            <v>32939</v>
          </cell>
        </row>
        <row r="2610">
          <cell r="P2610">
            <v>0</v>
          </cell>
          <cell r="S2610" t="str">
            <v xml:space="preserve">32939 </v>
          </cell>
          <cell r="AA2610">
            <v>32939</v>
          </cell>
        </row>
        <row r="2611">
          <cell r="P2611">
            <v>0</v>
          </cell>
          <cell r="S2611" t="str">
            <v xml:space="preserve">32939 </v>
          </cell>
          <cell r="AA2611">
            <v>32939</v>
          </cell>
        </row>
        <row r="2612">
          <cell r="P2612">
            <v>0</v>
          </cell>
          <cell r="S2612" t="str">
            <v xml:space="preserve">32939 </v>
          </cell>
          <cell r="AA2612">
            <v>32939</v>
          </cell>
        </row>
        <row r="2613">
          <cell r="P2613">
            <v>0</v>
          </cell>
          <cell r="S2613" t="str">
            <v xml:space="preserve">32939 </v>
          </cell>
          <cell r="AA2613">
            <v>32939</v>
          </cell>
        </row>
        <row r="2614">
          <cell r="P2614">
            <v>0</v>
          </cell>
          <cell r="S2614" t="str">
            <v xml:space="preserve">32939 </v>
          </cell>
          <cell r="AA2614">
            <v>32939</v>
          </cell>
        </row>
        <row r="2615">
          <cell r="P2615">
            <v>0</v>
          </cell>
          <cell r="S2615" t="str">
            <v xml:space="preserve">32939 </v>
          </cell>
          <cell r="AA2615">
            <v>32939</v>
          </cell>
        </row>
        <row r="2616">
          <cell r="P2616">
            <v>0</v>
          </cell>
          <cell r="S2616" t="str">
            <v xml:space="preserve">32939 </v>
          </cell>
          <cell r="AA2616">
            <v>32939</v>
          </cell>
        </row>
        <row r="2617">
          <cell r="P2617">
            <v>0</v>
          </cell>
          <cell r="S2617" t="str">
            <v xml:space="preserve">32939 </v>
          </cell>
          <cell r="AA2617">
            <v>32939</v>
          </cell>
        </row>
        <row r="2618">
          <cell r="P2618">
            <v>0</v>
          </cell>
          <cell r="S2618" t="str">
            <v xml:space="preserve">32939 </v>
          </cell>
          <cell r="AA2618">
            <v>32939</v>
          </cell>
        </row>
        <row r="2619">
          <cell r="P2619">
            <v>0</v>
          </cell>
          <cell r="S2619" t="str">
            <v xml:space="preserve">32939 </v>
          </cell>
          <cell r="AA2619">
            <v>32939</v>
          </cell>
        </row>
        <row r="2620">
          <cell r="P2620">
            <v>0</v>
          </cell>
          <cell r="S2620" t="str">
            <v xml:space="preserve">32939 </v>
          </cell>
          <cell r="AA2620">
            <v>32939</v>
          </cell>
        </row>
        <row r="2621">
          <cell r="P2621">
            <v>0</v>
          </cell>
          <cell r="S2621" t="str">
            <v xml:space="preserve">32939 </v>
          </cell>
          <cell r="AA2621">
            <v>32939</v>
          </cell>
        </row>
        <row r="2622">
          <cell r="P2622">
            <v>0</v>
          </cell>
          <cell r="S2622" t="str">
            <v xml:space="preserve">32939 </v>
          </cell>
          <cell r="AA2622">
            <v>32939</v>
          </cell>
        </row>
        <row r="2623">
          <cell r="P2623">
            <v>0</v>
          </cell>
          <cell r="S2623" t="str">
            <v xml:space="preserve">32939 </v>
          </cell>
          <cell r="AA2623">
            <v>32939</v>
          </cell>
        </row>
        <row r="2624">
          <cell r="P2624">
            <v>0</v>
          </cell>
          <cell r="S2624" t="str">
            <v xml:space="preserve">32939 </v>
          </cell>
          <cell r="AA2624">
            <v>32939</v>
          </cell>
        </row>
        <row r="2625">
          <cell r="P2625">
            <v>0</v>
          </cell>
          <cell r="S2625" t="str">
            <v xml:space="preserve">32939 </v>
          </cell>
          <cell r="AA2625">
            <v>32939</v>
          </cell>
        </row>
        <row r="2626">
          <cell r="P2626">
            <v>0</v>
          </cell>
          <cell r="S2626" t="str">
            <v xml:space="preserve">32939 </v>
          </cell>
          <cell r="AA2626">
            <v>32939</v>
          </cell>
        </row>
        <row r="2627">
          <cell r="P2627">
            <v>0</v>
          </cell>
          <cell r="S2627" t="str">
            <v xml:space="preserve">32939 </v>
          </cell>
          <cell r="AA2627">
            <v>32939</v>
          </cell>
        </row>
        <row r="2628">
          <cell r="P2628">
            <v>0</v>
          </cell>
          <cell r="S2628" t="str">
            <v xml:space="preserve">32939 </v>
          </cell>
          <cell r="AA2628">
            <v>32939</v>
          </cell>
        </row>
        <row r="2629">
          <cell r="P2629">
            <v>0</v>
          </cell>
          <cell r="S2629" t="str">
            <v xml:space="preserve">32939 </v>
          </cell>
          <cell r="AA2629">
            <v>32939</v>
          </cell>
        </row>
        <row r="2630">
          <cell r="P2630">
            <v>0</v>
          </cell>
          <cell r="S2630" t="str">
            <v xml:space="preserve">32939 </v>
          </cell>
          <cell r="AA2630">
            <v>32939</v>
          </cell>
        </row>
        <row r="2631">
          <cell r="P2631">
            <v>0</v>
          </cell>
          <cell r="S2631" t="str">
            <v xml:space="preserve">32939 </v>
          </cell>
          <cell r="AA2631">
            <v>32939</v>
          </cell>
        </row>
        <row r="2632">
          <cell r="P2632">
            <v>0</v>
          </cell>
          <cell r="S2632" t="str">
            <v xml:space="preserve">32939 </v>
          </cell>
          <cell r="AA2632">
            <v>32939</v>
          </cell>
        </row>
        <row r="2633">
          <cell r="P2633">
            <v>0</v>
          </cell>
          <cell r="S2633" t="str">
            <v xml:space="preserve">32939 </v>
          </cell>
          <cell r="AA2633">
            <v>32939</v>
          </cell>
        </row>
        <row r="2634">
          <cell r="P2634">
            <v>0</v>
          </cell>
          <cell r="S2634" t="str">
            <v xml:space="preserve">32939 </v>
          </cell>
          <cell r="AA2634">
            <v>32939</v>
          </cell>
        </row>
        <row r="2635">
          <cell r="P2635">
            <v>0</v>
          </cell>
          <cell r="S2635" t="str">
            <v xml:space="preserve">32939 </v>
          </cell>
          <cell r="AA2635">
            <v>32939</v>
          </cell>
        </row>
        <row r="2636">
          <cell r="P2636">
            <v>0</v>
          </cell>
          <cell r="S2636" t="str">
            <v xml:space="preserve">32939 </v>
          </cell>
          <cell r="AA2636">
            <v>32939</v>
          </cell>
        </row>
        <row r="2637">
          <cell r="P2637">
            <v>0</v>
          </cell>
          <cell r="S2637" t="str">
            <v xml:space="preserve">32939 </v>
          </cell>
          <cell r="AA2637">
            <v>32939</v>
          </cell>
        </row>
        <row r="2638">
          <cell r="P2638">
            <v>0</v>
          </cell>
          <cell r="S2638" t="str">
            <v xml:space="preserve">32939 </v>
          </cell>
          <cell r="AA2638">
            <v>32939</v>
          </cell>
        </row>
        <row r="2639">
          <cell r="P2639">
            <v>0</v>
          </cell>
          <cell r="S2639" t="str">
            <v xml:space="preserve">32939 </v>
          </cell>
          <cell r="AA2639">
            <v>32939</v>
          </cell>
        </row>
        <row r="2640">
          <cell r="P2640">
            <v>0</v>
          </cell>
          <cell r="S2640" t="str">
            <v xml:space="preserve">32939 </v>
          </cell>
          <cell r="AA2640">
            <v>32939</v>
          </cell>
        </row>
        <row r="2641">
          <cell r="P2641">
            <v>0</v>
          </cell>
          <cell r="S2641" t="str">
            <v xml:space="preserve">32939 </v>
          </cell>
          <cell r="AA2641">
            <v>32939</v>
          </cell>
        </row>
        <row r="2642">
          <cell r="P2642">
            <v>0</v>
          </cell>
          <cell r="S2642" t="str">
            <v xml:space="preserve">32939 </v>
          </cell>
          <cell r="AA2642">
            <v>32939</v>
          </cell>
        </row>
        <row r="2643">
          <cell r="P2643">
            <v>0</v>
          </cell>
          <cell r="S2643" t="str">
            <v xml:space="preserve">32939 </v>
          </cell>
          <cell r="AA2643">
            <v>32939</v>
          </cell>
        </row>
        <row r="2644">
          <cell r="P2644">
            <v>0</v>
          </cell>
          <cell r="S2644" t="str">
            <v xml:space="preserve">32939 </v>
          </cell>
          <cell r="AA2644">
            <v>32939</v>
          </cell>
        </row>
        <row r="2645">
          <cell r="P2645">
            <v>0</v>
          </cell>
          <cell r="S2645" t="str">
            <v xml:space="preserve">32939 </v>
          </cell>
          <cell r="AA2645">
            <v>32939</v>
          </cell>
        </row>
        <row r="2646">
          <cell r="P2646">
            <v>0</v>
          </cell>
          <cell r="S2646" t="str">
            <v xml:space="preserve">32939 </v>
          </cell>
          <cell r="AA2646">
            <v>32939</v>
          </cell>
        </row>
        <row r="2647">
          <cell r="P2647">
            <v>0</v>
          </cell>
          <cell r="S2647" t="str">
            <v xml:space="preserve">32939 </v>
          </cell>
          <cell r="AA2647">
            <v>32939</v>
          </cell>
        </row>
        <row r="2648">
          <cell r="P2648">
            <v>0</v>
          </cell>
          <cell r="S2648" t="str">
            <v xml:space="preserve">32939 </v>
          </cell>
          <cell r="AA2648">
            <v>32939</v>
          </cell>
        </row>
        <row r="2649">
          <cell r="P2649">
            <v>0</v>
          </cell>
          <cell r="S2649" t="str">
            <v xml:space="preserve">32939 </v>
          </cell>
          <cell r="AA2649">
            <v>32939</v>
          </cell>
        </row>
        <row r="2650">
          <cell r="P2650">
            <v>0</v>
          </cell>
          <cell r="S2650" t="str">
            <v xml:space="preserve">32939 </v>
          </cell>
          <cell r="AA2650">
            <v>32939</v>
          </cell>
        </row>
        <row r="2651">
          <cell r="P2651">
            <v>0</v>
          </cell>
          <cell r="S2651" t="str">
            <v xml:space="preserve">32939 </v>
          </cell>
          <cell r="AA2651">
            <v>32939</v>
          </cell>
        </row>
        <row r="2652">
          <cell r="P2652">
            <v>0</v>
          </cell>
          <cell r="S2652" t="str">
            <v xml:space="preserve">32939 </v>
          </cell>
          <cell r="AA2652">
            <v>32939</v>
          </cell>
        </row>
        <row r="2653">
          <cell r="P2653">
            <v>0</v>
          </cell>
          <cell r="S2653" t="str">
            <v xml:space="preserve">32939 </v>
          </cell>
          <cell r="AA2653">
            <v>32939</v>
          </cell>
        </row>
        <row r="2654">
          <cell r="P2654">
            <v>0</v>
          </cell>
          <cell r="S2654" t="str">
            <v xml:space="preserve">32939 </v>
          </cell>
          <cell r="AA2654">
            <v>32939</v>
          </cell>
        </row>
        <row r="2655">
          <cell r="P2655">
            <v>0</v>
          </cell>
          <cell r="S2655" t="str">
            <v xml:space="preserve">32939 </v>
          </cell>
          <cell r="AA2655">
            <v>32939</v>
          </cell>
        </row>
        <row r="2656">
          <cell r="P2656">
            <v>0</v>
          </cell>
          <cell r="S2656" t="str">
            <v xml:space="preserve">32939 </v>
          </cell>
          <cell r="AA2656">
            <v>32939</v>
          </cell>
        </row>
        <row r="2657">
          <cell r="P2657">
            <v>0</v>
          </cell>
          <cell r="S2657" t="str">
            <v xml:space="preserve">32939 </v>
          </cell>
          <cell r="AA2657">
            <v>32939</v>
          </cell>
        </row>
        <row r="2658">
          <cell r="P2658">
            <v>0</v>
          </cell>
          <cell r="S2658" t="str">
            <v xml:space="preserve">32939 </v>
          </cell>
          <cell r="AA2658">
            <v>32939</v>
          </cell>
        </row>
        <row r="2659">
          <cell r="P2659">
            <v>0</v>
          </cell>
          <cell r="S2659" t="str">
            <v xml:space="preserve">32939 </v>
          </cell>
          <cell r="AA2659">
            <v>32939</v>
          </cell>
        </row>
        <row r="2660">
          <cell r="P2660">
            <v>0</v>
          </cell>
          <cell r="S2660" t="str">
            <v xml:space="preserve">32939 </v>
          </cell>
          <cell r="AA2660">
            <v>32939</v>
          </cell>
        </row>
        <row r="2661">
          <cell r="P2661">
            <v>0</v>
          </cell>
          <cell r="S2661" t="str">
            <v xml:space="preserve">32939 </v>
          </cell>
          <cell r="AA2661">
            <v>32939</v>
          </cell>
        </row>
        <row r="2662">
          <cell r="P2662">
            <v>0</v>
          </cell>
          <cell r="S2662" t="str">
            <v xml:space="preserve">32939 </v>
          </cell>
          <cell r="AA2662">
            <v>32939</v>
          </cell>
        </row>
        <row r="2663">
          <cell r="P2663">
            <v>0</v>
          </cell>
          <cell r="S2663" t="str">
            <v xml:space="preserve">32939 </v>
          </cell>
          <cell r="AA2663">
            <v>32939</v>
          </cell>
        </row>
        <row r="2664">
          <cell r="P2664">
            <v>0</v>
          </cell>
          <cell r="S2664" t="str">
            <v xml:space="preserve">32939 </v>
          </cell>
          <cell r="AA2664">
            <v>32939</v>
          </cell>
        </row>
        <row r="2665">
          <cell r="P2665">
            <v>0</v>
          </cell>
          <cell r="S2665" t="str">
            <v xml:space="preserve">32939 </v>
          </cell>
          <cell r="AA2665">
            <v>32939</v>
          </cell>
        </row>
        <row r="2666">
          <cell r="P2666">
            <v>0</v>
          </cell>
          <cell r="S2666" t="str">
            <v xml:space="preserve">32939 </v>
          </cell>
          <cell r="AA2666">
            <v>32939</v>
          </cell>
        </row>
        <row r="2667">
          <cell r="P2667">
            <v>0</v>
          </cell>
          <cell r="S2667" t="str">
            <v xml:space="preserve">32939 </v>
          </cell>
          <cell r="AA2667">
            <v>32939</v>
          </cell>
        </row>
        <row r="2668">
          <cell r="P2668">
            <v>0</v>
          </cell>
          <cell r="S2668" t="str">
            <v xml:space="preserve">32939 </v>
          </cell>
          <cell r="AA2668">
            <v>32939</v>
          </cell>
        </row>
        <row r="2669">
          <cell r="P2669">
            <v>0</v>
          </cell>
          <cell r="S2669" t="str">
            <v xml:space="preserve">32939 </v>
          </cell>
          <cell r="AA2669">
            <v>32939</v>
          </cell>
        </row>
        <row r="2670">
          <cell r="P2670">
            <v>0</v>
          </cell>
          <cell r="S2670" t="str">
            <v xml:space="preserve">32939 </v>
          </cell>
          <cell r="AA2670">
            <v>32939</v>
          </cell>
        </row>
        <row r="2671">
          <cell r="P2671">
            <v>0</v>
          </cell>
          <cell r="S2671" t="str">
            <v xml:space="preserve">32939 </v>
          </cell>
          <cell r="AA2671">
            <v>32939</v>
          </cell>
        </row>
        <row r="2672">
          <cell r="P2672">
            <v>0</v>
          </cell>
          <cell r="S2672" t="str">
            <v xml:space="preserve">32939 </v>
          </cell>
          <cell r="AA2672">
            <v>32939</v>
          </cell>
        </row>
        <row r="2673">
          <cell r="P2673">
            <v>0</v>
          </cell>
          <cell r="S2673" t="str">
            <v xml:space="preserve">32939 </v>
          </cell>
          <cell r="AA2673">
            <v>32939</v>
          </cell>
        </row>
        <row r="2674">
          <cell r="P2674">
            <v>0</v>
          </cell>
          <cell r="S2674" t="str">
            <v xml:space="preserve">32939 </v>
          </cell>
          <cell r="AA2674">
            <v>32939</v>
          </cell>
        </row>
        <row r="2675">
          <cell r="P2675">
            <v>0</v>
          </cell>
          <cell r="S2675" t="str">
            <v xml:space="preserve">32939 </v>
          </cell>
          <cell r="AA2675">
            <v>32939</v>
          </cell>
        </row>
        <row r="2676">
          <cell r="P2676">
            <v>0</v>
          </cell>
          <cell r="S2676" t="str">
            <v xml:space="preserve">32939 </v>
          </cell>
          <cell r="AA2676">
            <v>32939</v>
          </cell>
        </row>
        <row r="2677">
          <cell r="P2677">
            <v>0</v>
          </cell>
          <cell r="S2677" t="str">
            <v xml:space="preserve">32939 </v>
          </cell>
          <cell r="AA2677">
            <v>32939</v>
          </cell>
        </row>
        <row r="2678">
          <cell r="P2678">
            <v>0</v>
          </cell>
          <cell r="S2678" t="str">
            <v xml:space="preserve">32939 </v>
          </cell>
          <cell r="AA2678">
            <v>32939</v>
          </cell>
        </row>
        <row r="2679">
          <cell r="P2679">
            <v>0</v>
          </cell>
          <cell r="S2679" t="str">
            <v xml:space="preserve">32939 </v>
          </cell>
          <cell r="AA2679">
            <v>32939</v>
          </cell>
        </row>
        <row r="2680">
          <cell r="P2680">
            <v>0</v>
          </cell>
          <cell r="S2680" t="str">
            <v xml:space="preserve">32939 </v>
          </cell>
          <cell r="AA2680">
            <v>32939</v>
          </cell>
        </row>
        <row r="2681">
          <cell r="P2681">
            <v>0</v>
          </cell>
          <cell r="S2681" t="str">
            <v xml:space="preserve">32939 </v>
          </cell>
          <cell r="AA2681">
            <v>32939</v>
          </cell>
        </row>
        <row r="2682">
          <cell r="P2682">
            <v>0</v>
          </cell>
          <cell r="S2682" t="str">
            <v xml:space="preserve">32939 </v>
          </cell>
          <cell r="AA2682">
            <v>32939</v>
          </cell>
        </row>
        <row r="2683">
          <cell r="P2683">
            <v>0</v>
          </cell>
          <cell r="S2683" t="str">
            <v xml:space="preserve">32939 </v>
          </cell>
          <cell r="AA2683">
            <v>32939</v>
          </cell>
        </row>
        <row r="2684">
          <cell r="P2684">
            <v>0</v>
          </cell>
          <cell r="S2684" t="str">
            <v xml:space="preserve">32939 </v>
          </cell>
          <cell r="AA2684">
            <v>32939</v>
          </cell>
        </row>
        <row r="2685">
          <cell r="P2685">
            <v>0</v>
          </cell>
          <cell r="S2685" t="str">
            <v xml:space="preserve">32939 </v>
          </cell>
          <cell r="AA2685">
            <v>32939</v>
          </cell>
        </row>
        <row r="2686">
          <cell r="P2686">
            <v>0</v>
          </cell>
          <cell r="S2686" t="str">
            <v xml:space="preserve">32939 </v>
          </cell>
          <cell r="AA2686">
            <v>32939</v>
          </cell>
        </row>
        <row r="2687">
          <cell r="P2687">
            <v>0</v>
          </cell>
          <cell r="S2687" t="str">
            <v xml:space="preserve">32939 </v>
          </cell>
          <cell r="AA2687">
            <v>32939</v>
          </cell>
        </row>
        <row r="2688">
          <cell r="P2688">
            <v>0</v>
          </cell>
          <cell r="S2688" t="str">
            <v xml:space="preserve">32939 </v>
          </cell>
          <cell r="AA2688">
            <v>32939</v>
          </cell>
        </row>
        <row r="2689">
          <cell r="P2689">
            <v>0</v>
          </cell>
          <cell r="S2689" t="str">
            <v xml:space="preserve">32939 </v>
          </cell>
          <cell r="AA2689">
            <v>32939</v>
          </cell>
        </row>
        <row r="2690">
          <cell r="P2690">
            <v>0</v>
          </cell>
          <cell r="S2690" t="str">
            <v xml:space="preserve">32939 </v>
          </cell>
          <cell r="AA2690">
            <v>32939</v>
          </cell>
        </row>
        <row r="2691">
          <cell r="P2691">
            <v>0</v>
          </cell>
          <cell r="S2691" t="str">
            <v xml:space="preserve">32939 </v>
          </cell>
          <cell r="AA2691">
            <v>32939</v>
          </cell>
        </row>
        <row r="2692">
          <cell r="P2692">
            <v>0</v>
          </cell>
          <cell r="S2692" t="str">
            <v xml:space="preserve">32939 </v>
          </cell>
          <cell r="AA2692">
            <v>32939</v>
          </cell>
        </row>
        <row r="2693">
          <cell r="P2693">
            <v>0</v>
          </cell>
          <cell r="S2693" t="str">
            <v xml:space="preserve">32939 </v>
          </cell>
          <cell r="AA2693">
            <v>32939</v>
          </cell>
        </row>
        <row r="2694">
          <cell r="P2694">
            <v>0</v>
          </cell>
          <cell r="S2694" t="str">
            <v xml:space="preserve">32939 </v>
          </cell>
          <cell r="AA2694">
            <v>32939</v>
          </cell>
        </row>
        <row r="2695">
          <cell r="P2695">
            <v>0</v>
          </cell>
          <cell r="S2695" t="str">
            <v xml:space="preserve">32939 </v>
          </cell>
          <cell r="AA2695">
            <v>32939</v>
          </cell>
        </row>
        <row r="2696">
          <cell r="P2696">
            <v>0</v>
          </cell>
          <cell r="S2696" t="str">
            <v xml:space="preserve">32939 </v>
          </cell>
          <cell r="AA2696">
            <v>32939</v>
          </cell>
        </row>
        <row r="2697">
          <cell r="P2697">
            <v>0</v>
          </cell>
          <cell r="S2697" t="str">
            <v xml:space="preserve">32939 </v>
          </cell>
          <cell r="AA2697">
            <v>32939</v>
          </cell>
        </row>
        <row r="2698">
          <cell r="P2698">
            <v>0</v>
          </cell>
          <cell r="S2698" t="str">
            <v xml:space="preserve">32939 </v>
          </cell>
          <cell r="AA2698">
            <v>32939</v>
          </cell>
        </row>
        <row r="2699">
          <cell r="P2699">
            <v>0</v>
          </cell>
          <cell r="S2699" t="str">
            <v xml:space="preserve">32939 </v>
          </cell>
          <cell r="AA2699">
            <v>32939</v>
          </cell>
        </row>
        <row r="2700">
          <cell r="P2700">
            <v>0</v>
          </cell>
          <cell r="S2700" t="str">
            <v xml:space="preserve">32939 </v>
          </cell>
          <cell r="AA2700">
            <v>32939</v>
          </cell>
        </row>
        <row r="2701">
          <cell r="P2701">
            <v>0</v>
          </cell>
          <cell r="S2701" t="str">
            <v xml:space="preserve">32939 </v>
          </cell>
          <cell r="AA2701">
            <v>32939</v>
          </cell>
        </row>
        <row r="2702">
          <cell r="P2702">
            <v>0</v>
          </cell>
          <cell r="S2702" t="str">
            <v xml:space="preserve">32939 </v>
          </cell>
          <cell r="AA2702">
            <v>32939</v>
          </cell>
        </row>
        <row r="2703">
          <cell r="P2703">
            <v>0</v>
          </cell>
          <cell r="S2703" t="str">
            <v xml:space="preserve">32939 </v>
          </cell>
          <cell r="AA2703">
            <v>32939</v>
          </cell>
        </row>
        <row r="2704">
          <cell r="P2704">
            <v>0</v>
          </cell>
          <cell r="S2704" t="str">
            <v xml:space="preserve">32939 </v>
          </cell>
          <cell r="AA2704">
            <v>32939</v>
          </cell>
        </row>
        <row r="2705">
          <cell r="P2705">
            <v>0</v>
          </cell>
          <cell r="S2705" t="str">
            <v xml:space="preserve">32939 </v>
          </cell>
          <cell r="AA2705">
            <v>32939</v>
          </cell>
        </row>
        <row r="2706">
          <cell r="P2706">
            <v>0</v>
          </cell>
          <cell r="S2706" t="str">
            <v xml:space="preserve">32939 </v>
          </cell>
          <cell r="AA2706">
            <v>32939</v>
          </cell>
        </row>
        <row r="2707">
          <cell r="P2707">
            <v>0</v>
          </cell>
          <cell r="S2707" t="str">
            <v xml:space="preserve">32939 </v>
          </cell>
          <cell r="AA2707">
            <v>32939</v>
          </cell>
        </row>
        <row r="2708">
          <cell r="P2708">
            <v>0</v>
          </cell>
          <cell r="S2708" t="str">
            <v xml:space="preserve">32939 </v>
          </cell>
          <cell r="AA2708">
            <v>32939</v>
          </cell>
        </row>
        <row r="2709">
          <cell r="P2709">
            <v>0</v>
          </cell>
          <cell r="S2709" t="str">
            <v xml:space="preserve">32939 </v>
          </cell>
          <cell r="AA2709">
            <v>32939</v>
          </cell>
        </row>
        <row r="2710">
          <cell r="P2710">
            <v>0</v>
          </cell>
          <cell r="S2710" t="str">
            <v xml:space="preserve">32939 </v>
          </cell>
          <cell r="AA2710">
            <v>32939</v>
          </cell>
        </row>
        <row r="2711">
          <cell r="P2711">
            <v>0</v>
          </cell>
          <cell r="S2711" t="str">
            <v xml:space="preserve">32939 </v>
          </cell>
          <cell r="AA2711">
            <v>32939</v>
          </cell>
        </row>
        <row r="2712">
          <cell r="P2712">
            <v>0</v>
          </cell>
          <cell r="S2712" t="str">
            <v xml:space="preserve">32939 </v>
          </cell>
          <cell r="AA2712">
            <v>32939</v>
          </cell>
        </row>
        <row r="2713">
          <cell r="P2713">
            <v>0</v>
          </cell>
          <cell r="S2713" t="str">
            <v xml:space="preserve">32939 </v>
          </cell>
          <cell r="AA2713">
            <v>32939</v>
          </cell>
        </row>
        <row r="2714">
          <cell r="P2714">
            <v>0</v>
          </cell>
          <cell r="S2714" t="str">
            <v xml:space="preserve">32939 </v>
          </cell>
          <cell r="AA2714">
            <v>32939</v>
          </cell>
        </row>
        <row r="2715">
          <cell r="P2715">
            <v>0</v>
          </cell>
          <cell r="S2715" t="str">
            <v xml:space="preserve">32939 </v>
          </cell>
          <cell r="AA2715">
            <v>32939</v>
          </cell>
        </row>
        <row r="2716">
          <cell r="P2716">
            <v>0</v>
          </cell>
          <cell r="S2716" t="str">
            <v xml:space="preserve">32939 </v>
          </cell>
          <cell r="AA2716">
            <v>32939</v>
          </cell>
        </row>
        <row r="2717">
          <cell r="P2717">
            <v>0</v>
          </cell>
          <cell r="S2717" t="str">
            <v xml:space="preserve">32939 </v>
          </cell>
          <cell r="AA2717">
            <v>32939</v>
          </cell>
        </row>
        <row r="2718">
          <cell r="P2718">
            <v>0</v>
          </cell>
          <cell r="S2718" t="str">
            <v xml:space="preserve">32939 </v>
          </cell>
          <cell r="AA2718">
            <v>32939</v>
          </cell>
        </row>
        <row r="2719">
          <cell r="P2719">
            <v>0</v>
          </cell>
          <cell r="S2719" t="str">
            <v xml:space="preserve">32939 </v>
          </cell>
          <cell r="AA2719">
            <v>32939</v>
          </cell>
        </row>
        <row r="2720">
          <cell r="P2720">
            <v>0</v>
          </cell>
          <cell r="S2720" t="str">
            <v xml:space="preserve">32939 </v>
          </cell>
          <cell r="AA2720">
            <v>32939</v>
          </cell>
        </row>
        <row r="2721">
          <cell r="P2721">
            <v>0</v>
          </cell>
          <cell r="S2721" t="str">
            <v xml:space="preserve">32939 </v>
          </cell>
          <cell r="AA2721">
            <v>32939</v>
          </cell>
        </row>
        <row r="2722">
          <cell r="P2722">
            <v>0</v>
          </cell>
          <cell r="S2722" t="str">
            <v xml:space="preserve">32939 </v>
          </cell>
          <cell r="AA2722">
            <v>32939</v>
          </cell>
        </row>
        <row r="2723">
          <cell r="P2723">
            <v>0</v>
          </cell>
          <cell r="S2723" t="str">
            <v xml:space="preserve">32939 </v>
          </cell>
          <cell r="AA2723">
            <v>32939</v>
          </cell>
        </row>
        <row r="2724">
          <cell r="P2724">
            <v>0</v>
          </cell>
          <cell r="S2724" t="str">
            <v xml:space="preserve">32939 </v>
          </cell>
          <cell r="AA2724">
            <v>32939</v>
          </cell>
        </row>
        <row r="2725">
          <cell r="P2725">
            <v>0</v>
          </cell>
          <cell r="S2725" t="str">
            <v xml:space="preserve">32939 </v>
          </cell>
          <cell r="AA2725">
            <v>32939</v>
          </cell>
        </row>
        <row r="2726">
          <cell r="P2726">
            <v>0</v>
          </cell>
          <cell r="S2726" t="str">
            <v xml:space="preserve">32939 </v>
          </cell>
          <cell r="AA2726">
            <v>32939</v>
          </cell>
        </row>
        <row r="2727">
          <cell r="P2727">
            <v>0</v>
          </cell>
          <cell r="S2727" t="str">
            <v xml:space="preserve">32939 </v>
          </cell>
          <cell r="AA2727">
            <v>32939</v>
          </cell>
        </row>
        <row r="2728">
          <cell r="P2728">
            <v>0</v>
          </cell>
          <cell r="S2728" t="str">
            <v xml:space="preserve">32939 </v>
          </cell>
          <cell r="AA2728">
            <v>32939</v>
          </cell>
        </row>
        <row r="2729">
          <cell r="P2729">
            <v>0</v>
          </cell>
          <cell r="S2729" t="str">
            <v xml:space="preserve">32939 </v>
          </cell>
          <cell r="AA2729">
            <v>32939</v>
          </cell>
        </row>
        <row r="2730">
          <cell r="P2730">
            <v>0</v>
          </cell>
          <cell r="S2730" t="str">
            <v xml:space="preserve">32939 </v>
          </cell>
          <cell r="AA2730">
            <v>32939</v>
          </cell>
        </row>
        <row r="2731">
          <cell r="P2731">
            <v>0</v>
          </cell>
          <cell r="S2731" t="str">
            <v xml:space="preserve">32939 </v>
          </cell>
          <cell r="AA2731">
            <v>32939</v>
          </cell>
        </row>
        <row r="2732">
          <cell r="P2732">
            <v>0</v>
          </cell>
          <cell r="S2732" t="str">
            <v xml:space="preserve">32939 </v>
          </cell>
          <cell r="AA2732">
            <v>32939</v>
          </cell>
        </row>
        <row r="2733">
          <cell r="P2733">
            <v>0</v>
          </cell>
          <cell r="S2733" t="str">
            <v xml:space="preserve">32939 </v>
          </cell>
          <cell r="AA2733">
            <v>32939</v>
          </cell>
        </row>
        <row r="2734">
          <cell r="P2734">
            <v>0</v>
          </cell>
          <cell r="S2734" t="str">
            <v xml:space="preserve">32939 </v>
          </cell>
          <cell r="AA2734">
            <v>32939</v>
          </cell>
        </row>
        <row r="2735">
          <cell r="P2735">
            <v>0</v>
          </cell>
          <cell r="S2735" t="str">
            <v xml:space="preserve">32939 </v>
          </cell>
          <cell r="AA2735">
            <v>32939</v>
          </cell>
        </row>
        <row r="2736">
          <cell r="P2736">
            <v>0</v>
          </cell>
          <cell r="S2736" t="str">
            <v xml:space="preserve">32939 </v>
          </cell>
          <cell r="AA2736">
            <v>32939</v>
          </cell>
        </row>
        <row r="2737">
          <cell r="P2737">
            <v>0</v>
          </cell>
          <cell r="S2737" t="str">
            <v xml:space="preserve">32939 </v>
          </cell>
          <cell r="AA2737">
            <v>32939</v>
          </cell>
        </row>
        <row r="2738">
          <cell r="P2738">
            <v>0</v>
          </cell>
          <cell r="S2738" t="str">
            <v xml:space="preserve">32939 </v>
          </cell>
          <cell r="AA2738">
            <v>32939</v>
          </cell>
        </row>
        <row r="2739">
          <cell r="P2739">
            <v>0</v>
          </cell>
          <cell r="S2739" t="str">
            <v xml:space="preserve">32939 </v>
          </cell>
          <cell r="AA2739">
            <v>32939</v>
          </cell>
        </row>
        <row r="2740">
          <cell r="P2740">
            <v>0</v>
          </cell>
          <cell r="S2740" t="str">
            <v xml:space="preserve">32939 </v>
          </cell>
          <cell r="AA2740">
            <v>32939</v>
          </cell>
        </row>
        <row r="2741">
          <cell r="P2741">
            <v>0</v>
          </cell>
          <cell r="S2741" t="str">
            <v xml:space="preserve">32939 </v>
          </cell>
          <cell r="AA2741">
            <v>32939</v>
          </cell>
        </row>
        <row r="2742">
          <cell r="P2742">
            <v>0</v>
          </cell>
          <cell r="S2742" t="str">
            <v xml:space="preserve">32939 </v>
          </cell>
          <cell r="AA2742">
            <v>32939</v>
          </cell>
        </row>
        <row r="2743">
          <cell r="P2743">
            <v>0</v>
          </cell>
          <cell r="S2743" t="str">
            <v xml:space="preserve">32939 </v>
          </cell>
          <cell r="AA2743">
            <v>32939</v>
          </cell>
        </row>
        <row r="2744">
          <cell r="P2744">
            <v>0</v>
          </cell>
          <cell r="S2744" t="str">
            <v xml:space="preserve">32939 </v>
          </cell>
          <cell r="AA2744">
            <v>32939</v>
          </cell>
        </row>
        <row r="2745">
          <cell r="P2745">
            <v>0</v>
          </cell>
          <cell r="S2745" t="str">
            <v xml:space="preserve">32939 </v>
          </cell>
          <cell r="AA2745">
            <v>32939</v>
          </cell>
        </row>
        <row r="2746">
          <cell r="P2746">
            <v>0</v>
          </cell>
          <cell r="S2746" t="str">
            <v xml:space="preserve">32939 </v>
          </cell>
          <cell r="AA2746">
            <v>32939</v>
          </cell>
        </row>
        <row r="2747">
          <cell r="P2747">
            <v>0</v>
          </cell>
          <cell r="S2747" t="str">
            <v xml:space="preserve">32939 </v>
          </cell>
          <cell r="AA2747">
            <v>32939</v>
          </cell>
        </row>
        <row r="2748">
          <cell r="P2748">
            <v>0</v>
          </cell>
          <cell r="S2748" t="str">
            <v xml:space="preserve">32939 </v>
          </cell>
          <cell r="AA2748">
            <v>32939</v>
          </cell>
        </row>
        <row r="2749">
          <cell r="P2749">
            <v>0</v>
          </cell>
          <cell r="S2749" t="str">
            <v xml:space="preserve">32939 </v>
          </cell>
          <cell r="AA2749">
            <v>32939</v>
          </cell>
        </row>
        <row r="2750">
          <cell r="P2750">
            <v>0</v>
          </cell>
          <cell r="S2750" t="str">
            <v xml:space="preserve">32939 </v>
          </cell>
          <cell r="AA2750">
            <v>32939</v>
          </cell>
        </row>
        <row r="2751">
          <cell r="P2751">
            <v>0</v>
          </cell>
          <cell r="S2751" t="str">
            <v xml:space="preserve">32939 </v>
          </cell>
          <cell r="AA2751">
            <v>32939</v>
          </cell>
        </row>
        <row r="2752">
          <cell r="P2752">
            <v>0</v>
          </cell>
          <cell r="S2752" t="str">
            <v xml:space="preserve">32939 </v>
          </cell>
          <cell r="AA2752">
            <v>32939</v>
          </cell>
        </row>
        <row r="2753">
          <cell r="P2753">
            <v>0</v>
          </cell>
          <cell r="S2753" t="str">
            <v xml:space="preserve">32939 </v>
          </cell>
          <cell r="AA2753">
            <v>32939</v>
          </cell>
        </row>
        <row r="2754">
          <cell r="P2754">
            <v>0</v>
          </cell>
          <cell r="S2754" t="str">
            <v xml:space="preserve">32939 </v>
          </cell>
          <cell r="AA2754">
            <v>32939</v>
          </cell>
        </row>
        <row r="2755">
          <cell r="P2755">
            <v>0</v>
          </cell>
          <cell r="S2755" t="str">
            <v xml:space="preserve">32939 </v>
          </cell>
          <cell r="AA2755">
            <v>32939</v>
          </cell>
        </row>
        <row r="2756">
          <cell r="P2756">
            <v>0</v>
          </cell>
          <cell r="S2756" t="str">
            <v xml:space="preserve">32939 </v>
          </cell>
          <cell r="AA2756">
            <v>32939</v>
          </cell>
        </row>
        <row r="2757">
          <cell r="P2757">
            <v>0</v>
          </cell>
          <cell r="S2757" t="str">
            <v xml:space="preserve">32939 </v>
          </cell>
          <cell r="AA2757">
            <v>32939</v>
          </cell>
        </row>
        <row r="2758">
          <cell r="P2758">
            <v>0</v>
          </cell>
          <cell r="S2758" t="str">
            <v xml:space="preserve">32939 </v>
          </cell>
          <cell r="AA2758">
            <v>32939</v>
          </cell>
        </row>
        <row r="2759">
          <cell r="P2759">
            <v>0</v>
          </cell>
          <cell r="S2759" t="str">
            <v xml:space="preserve">32939 </v>
          </cell>
          <cell r="AA2759">
            <v>32939</v>
          </cell>
        </row>
        <row r="2760">
          <cell r="P2760">
            <v>0</v>
          </cell>
          <cell r="S2760" t="str">
            <v xml:space="preserve">32939 </v>
          </cell>
          <cell r="AA2760">
            <v>32939</v>
          </cell>
        </row>
        <row r="2761">
          <cell r="P2761">
            <v>0</v>
          </cell>
          <cell r="S2761" t="str">
            <v xml:space="preserve">32939 </v>
          </cell>
          <cell r="AA2761">
            <v>32939</v>
          </cell>
        </row>
        <row r="2762">
          <cell r="P2762">
            <v>0</v>
          </cell>
          <cell r="S2762" t="str">
            <v xml:space="preserve">32939 </v>
          </cell>
          <cell r="AA2762">
            <v>32939</v>
          </cell>
        </row>
        <row r="2763">
          <cell r="P2763">
            <v>0</v>
          </cell>
          <cell r="S2763" t="str">
            <v xml:space="preserve">32939 </v>
          </cell>
          <cell r="AA2763">
            <v>32939</v>
          </cell>
        </row>
        <row r="2764">
          <cell r="P2764">
            <v>0</v>
          </cell>
          <cell r="S2764" t="str">
            <v xml:space="preserve">32939 </v>
          </cell>
          <cell r="AA2764">
            <v>32939</v>
          </cell>
        </row>
        <row r="2765">
          <cell r="P2765">
            <v>0</v>
          </cell>
          <cell r="S2765" t="str">
            <v xml:space="preserve">32939 </v>
          </cell>
          <cell r="AA2765">
            <v>32939</v>
          </cell>
        </row>
        <row r="2766">
          <cell r="P2766">
            <v>0</v>
          </cell>
          <cell r="S2766" t="str">
            <v xml:space="preserve">32939 </v>
          </cell>
          <cell r="AA2766">
            <v>32939</v>
          </cell>
        </row>
        <row r="2767">
          <cell r="P2767">
            <v>0</v>
          </cell>
          <cell r="S2767" t="str">
            <v xml:space="preserve">32939 </v>
          </cell>
          <cell r="AA2767">
            <v>32939</v>
          </cell>
        </row>
        <row r="2768">
          <cell r="P2768">
            <v>0</v>
          </cell>
          <cell r="S2768" t="str">
            <v xml:space="preserve">32939 </v>
          </cell>
          <cell r="AA2768">
            <v>32939</v>
          </cell>
        </row>
        <row r="2769">
          <cell r="P2769">
            <v>0</v>
          </cell>
          <cell r="S2769" t="str">
            <v xml:space="preserve">32939 </v>
          </cell>
          <cell r="AA2769">
            <v>32939</v>
          </cell>
        </row>
        <row r="2770">
          <cell r="P2770">
            <v>0</v>
          </cell>
          <cell r="S2770" t="str">
            <v xml:space="preserve">32939 </v>
          </cell>
          <cell r="AA2770">
            <v>32939</v>
          </cell>
        </row>
        <row r="2771">
          <cell r="P2771">
            <v>0</v>
          </cell>
          <cell r="S2771" t="str">
            <v xml:space="preserve">32939 </v>
          </cell>
          <cell r="AA2771">
            <v>32939</v>
          </cell>
        </row>
        <row r="2772">
          <cell r="P2772">
            <v>0</v>
          </cell>
          <cell r="S2772" t="str">
            <v xml:space="preserve">32939 </v>
          </cell>
          <cell r="AA2772">
            <v>32939</v>
          </cell>
        </row>
        <row r="2773">
          <cell r="P2773">
            <v>0</v>
          </cell>
          <cell r="S2773" t="str">
            <v xml:space="preserve">32939 </v>
          </cell>
          <cell r="AA2773">
            <v>32939</v>
          </cell>
        </row>
        <row r="2774">
          <cell r="P2774">
            <v>0</v>
          </cell>
          <cell r="S2774" t="str">
            <v xml:space="preserve">32939 </v>
          </cell>
          <cell r="AA2774">
            <v>32939</v>
          </cell>
        </row>
        <row r="2775">
          <cell r="P2775">
            <v>0</v>
          </cell>
          <cell r="S2775" t="str">
            <v xml:space="preserve">32939 </v>
          </cell>
          <cell r="AA2775">
            <v>32939</v>
          </cell>
        </row>
        <row r="2776">
          <cell r="P2776">
            <v>0</v>
          </cell>
          <cell r="S2776" t="str">
            <v xml:space="preserve">32939 </v>
          </cell>
          <cell r="AA2776">
            <v>32939</v>
          </cell>
        </row>
        <row r="2777">
          <cell r="P2777">
            <v>0</v>
          </cell>
          <cell r="S2777" t="str">
            <v xml:space="preserve">32939 </v>
          </cell>
          <cell r="AA2777">
            <v>32939</v>
          </cell>
        </row>
        <row r="2778">
          <cell r="P2778">
            <v>0</v>
          </cell>
          <cell r="S2778" t="str">
            <v xml:space="preserve">32939 </v>
          </cell>
          <cell r="AA2778">
            <v>32939</v>
          </cell>
        </row>
        <row r="2779">
          <cell r="P2779">
            <v>0</v>
          </cell>
          <cell r="S2779" t="str">
            <v xml:space="preserve">32939 </v>
          </cell>
          <cell r="AA2779">
            <v>32939</v>
          </cell>
        </row>
        <row r="2780">
          <cell r="P2780">
            <v>0</v>
          </cell>
          <cell r="S2780" t="str">
            <v xml:space="preserve">32939 </v>
          </cell>
          <cell r="AA2780">
            <v>32939</v>
          </cell>
        </row>
        <row r="2781">
          <cell r="P2781">
            <v>0</v>
          </cell>
          <cell r="S2781" t="str">
            <v xml:space="preserve">32939 </v>
          </cell>
          <cell r="AA2781">
            <v>32939</v>
          </cell>
        </row>
        <row r="2782">
          <cell r="P2782">
            <v>0</v>
          </cell>
          <cell r="S2782" t="str">
            <v xml:space="preserve">32939 </v>
          </cell>
          <cell r="AA2782">
            <v>32939</v>
          </cell>
        </row>
        <row r="2783">
          <cell r="P2783">
            <v>0</v>
          </cell>
          <cell r="S2783" t="str">
            <v xml:space="preserve">32939 </v>
          </cell>
          <cell r="AA2783">
            <v>32939</v>
          </cell>
        </row>
        <row r="2784">
          <cell r="P2784">
            <v>0</v>
          </cell>
          <cell r="S2784" t="str">
            <v xml:space="preserve">32939 </v>
          </cell>
          <cell r="AA2784">
            <v>32939</v>
          </cell>
        </row>
        <row r="2785">
          <cell r="P2785">
            <v>0</v>
          </cell>
          <cell r="S2785" t="str">
            <v xml:space="preserve">32939 </v>
          </cell>
          <cell r="AA2785">
            <v>32939</v>
          </cell>
        </row>
        <row r="2786">
          <cell r="P2786">
            <v>0</v>
          </cell>
          <cell r="S2786" t="str">
            <v xml:space="preserve">32939 </v>
          </cell>
          <cell r="AA2786">
            <v>32939</v>
          </cell>
        </row>
        <row r="2787">
          <cell r="P2787">
            <v>0</v>
          </cell>
          <cell r="S2787" t="str">
            <v xml:space="preserve">32939 </v>
          </cell>
          <cell r="AA2787">
            <v>32939</v>
          </cell>
        </row>
        <row r="2788">
          <cell r="P2788">
            <v>0</v>
          </cell>
          <cell r="S2788" t="str">
            <v xml:space="preserve">32939 </v>
          </cell>
          <cell r="AA2788">
            <v>32939</v>
          </cell>
        </row>
        <row r="2789">
          <cell r="P2789">
            <v>0</v>
          </cell>
          <cell r="S2789" t="str">
            <v xml:space="preserve">32939 </v>
          </cell>
          <cell r="AA2789">
            <v>32939</v>
          </cell>
        </row>
        <row r="2790">
          <cell r="P2790">
            <v>0</v>
          </cell>
          <cell r="S2790" t="str">
            <v xml:space="preserve">32939 </v>
          </cell>
          <cell r="AA2790">
            <v>32939</v>
          </cell>
        </row>
        <row r="2791">
          <cell r="P2791">
            <v>0</v>
          </cell>
          <cell r="S2791" t="str">
            <v xml:space="preserve">32939 </v>
          </cell>
          <cell r="AA2791">
            <v>32939</v>
          </cell>
        </row>
        <row r="2792">
          <cell r="P2792">
            <v>0</v>
          </cell>
          <cell r="S2792" t="str">
            <v xml:space="preserve">32939 </v>
          </cell>
          <cell r="AA2792">
            <v>32939</v>
          </cell>
        </row>
        <row r="2793">
          <cell r="P2793">
            <v>0</v>
          </cell>
          <cell r="S2793" t="str">
            <v xml:space="preserve">32939 </v>
          </cell>
          <cell r="AA2793">
            <v>32939</v>
          </cell>
        </row>
        <row r="2794">
          <cell r="P2794">
            <v>0</v>
          </cell>
          <cell r="S2794" t="str">
            <v xml:space="preserve">32939 </v>
          </cell>
          <cell r="AA2794">
            <v>32939</v>
          </cell>
        </row>
        <row r="2795">
          <cell r="P2795">
            <v>0</v>
          </cell>
          <cell r="S2795" t="str">
            <v xml:space="preserve">32939 </v>
          </cell>
          <cell r="AA2795">
            <v>32939</v>
          </cell>
        </row>
        <row r="2796">
          <cell r="P2796">
            <v>0</v>
          </cell>
          <cell r="S2796" t="str">
            <v xml:space="preserve">32939 </v>
          </cell>
          <cell r="AA2796">
            <v>32939</v>
          </cell>
        </row>
        <row r="2797">
          <cell r="P2797">
            <v>0</v>
          </cell>
          <cell r="S2797" t="str">
            <v xml:space="preserve">32939 </v>
          </cell>
          <cell r="AA2797">
            <v>32939</v>
          </cell>
        </row>
        <row r="2798">
          <cell r="P2798">
            <v>0</v>
          </cell>
          <cell r="S2798" t="str">
            <v xml:space="preserve">32939 </v>
          </cell>
          <cell r="AA2798">
            <v>32939</v>
          </cell>
        </row>
        <row r="2799">
          <cell r="P2799">
            <v>0</v>
          </cell>
          <cell r="S2799" t="str">
            <v xml:space="preserve">32939 </v>
          </cell>
          <cell r="AA2799">
            <v>32939</v>
          </cell>
        </row>
        <row r="2800">
          <cell r="P2800">
            <v>0</v>
          </cell>
          <cell r="S2800" t="str">
            <v xml:space="preserve">32939 </v>
          </cell>
          <cell r="AA2800">
            <v>32939</v>
          </cell>
        </row>
        <row r="2801">
          <cell r="P2801">
            <v>0</v>
          </cell>
          <cell r="S2801" t="str">
            <v xml:space="preserve">32939 </v>
          </cell>
          <cell r="AA2801">
            <v>32939</v>
          </cell>
        </row>
        <row r="2802">
          <cell r="P2802">
            <v>0</v>
          </cell>
          <cell r="S2802" t="str">
            <v xml:space="preserve">32939 </v>
          </cell>
          <cell r="AA2802">
            <v>32939</v>
          </cell>
        </row>
        <row r="2803">
          <cell r="P2803">
            <v>0</v>
          </cell>
          <cell r="S2803" t="str">
            <v xml:space="preserve">32939 </v>
          </cell>
          <cell r="AA2803">
            <v>32939</v>
          </cell>
        </row>
        <row r="2804">
          <cell r="P2804">
            <v>0</v>
          </cell>
          <cell r="S2804" t="str">
            <v xml:space="preserve">32939 </v>
          </cell>
          <cell r="AA2804">
            <v>32939</v>
          </cell>
        </row>
        <row r="2805">
          <cell r="P2805">
            <v>0</v>
          </cell>
          <cell r="S2805" t="str">
            <v xml:space="preserve">32939 </v>
          </cell>
          <cell r="AA2805">
            <v>32939</v>
          </cell>
        </row>
        <row r="2806">
          <cell r="P2806">
            <v>0</v>
          </cell>
          <cell r="S2806" t="str">
            <v xml:space="preserve">32939 </v>
          </cell>
          <cell r="AA2806">
            <v>32939</v>
          </cell>
        </row>
        <row r="2807">
          <cell r="P2807">
            <v>0</v>
          </cell>
          <cell r="S2807" t="str">
            <v xml:space="preserve">32939 </v>
          </cell>
          <cell r="AA2807">
            <v>32939</v>
          </cell>
        </row>
        <row r="2808">
          <cell r="P2808">
            <v>0</v>
          </cell>
          <cell r="S2808" t="str">
            <v xml:space="preserve">32939 </v>
          </cell>
          <cell r="AA2808">
            <v>32939</v>
          </cell>
        </row>
        <row r="2809">
          <cell r="P2809">
            <v>0</v>
          </cell>
          <cell r="S2809" t="str">
            <v xml:space="preserve">32939 </v>
          </cell>
          <cell r="AA2809">
            <v>32939</v>
          </cell>
        </row>
        <row r="2810">
          <cell r="P2810">
            <v>0</v>
          </cell>
          <cell r="S2810" t="str">
            <v xml:space="preserve">32939 </v>
          </cell>
          <cell r="AA2810">
            <v>32939</v>
          </cell>
        </row>
        <row r="2811">
          <cell r="P2811">
            <v>0</v>
          </cell>
          <cell r="S2811" t="str">
            <v xml:space="preserve">32939 </v>
          </cell>
          <cell r="AA2811">
            <v>32939</v>
          </cell>
        </row>
        <row r="2812">
          <cell r="P2812">
            <v>0</v>
          </cell>
          <cell r="S2812" t="str">
            <v xml:space="preserve">32939 </v>
          </cell>
          <cell r="AA2812">
            <v>32939</v>
          </cell>
        </row>
        <row r="2813">
          <cell r="P2813">
            <v>0</v>
          </cell>
          <cell r="S2813" t="str">
            <v xml:space="preserve">32939 </v>
          </cell>
          <cell r="AA2813">
            <v>32939</v>
          </cell>
        </row>
        <row r="2814">
          <cell r="P2814">
            <v>0</v>
          </cell>
          <cell r="S2814" t="str">
            <v xml:space="preserve">32939 </v>
          </cell>
          <cell r="AA2814">
            <v>32939</v>
          </cell>
        </row>
        <row r="2815">
          <cell r="P2815">
            <v>0</v>
          </cell>
          <cell r="S2815" t="str">
            <v xml:space="preserve">32939 </v>
          </cell>
          <cell r="AA2815">
            <v>32939</v>
          </cell>
        </row>
        <row r="2816">
          <cell r="P2816">
            <v>0</v>
          </cell>
          <cell r="S2816" t="str">
            <v xml:space="preserve">32939 </v>
          </cell>
          <cell r="AA2816">
            <v>32939</v>
          </cell>
        </row>
        <row r="2817">
          <cell r="P2817">
            <v>0</v>
          </cell>
          <cell r="S2817" t="str">
            <v xml:space="preserve">32939 </v>
          </cell>
          <cell r="AA2817">
            <v>32939</v>
          </cell>
        </row>
        <row r="2818">
          <cell r="P2818">
            <v>0</v>
          </cell>
          <cell r="S2818" t="str">
            <v xml:space="preserve">32939 </v>
          </cell>
          <cell r="AA2818">
            <v>32939</v>
          </cell>
        </row>
        <row r="2819">
          <cell r="P2819">
            <v>0</v>
          </cell>
          <cell r="S2819" t="str">
            <v xml:space="preserve">32939 </v>
          </cell>
          <cell r="AA2819">
            <v>32939</v>
          </cell>
        </row>
        <row r="2820">
          <cell r="P2820">
            <v>0</v>
          </cell>
          <cell r="S2820" t="str">
            <v xml:space="preserve">32939 </v>
          </cell>
          <cell r="AA2820">
            <v>32939</v>
          </cell>
        </row>
        <row r="2821">
          <cell r="P2821">
            <v>0</v>
          </cell>
          <cell r="S2821" t="str">
            <v xml:space="preserve">32939 </v>
          </cell>
          <cell r="AA2821">
            <v>32939</v>
          </cell>
        </row>
        <row r="2822">
          <cell r="P2822">
            <v>0</v>
          </cell>
          <cell r="S2822" t="str">
            <v xml:space="preserve">32939 </v>
          </cell>
          <cell r="AA2822">
            <v>32939</v>
          </cell>
        </row>
        <row r="2823">
          <cell r="P2823">
            <v>0</v>
          </cell>
          <cell r="S2823" t="str">
            <v xml:space="preserve">32939 </v>
          </cell>
          <cell r="AA2823">
            <v>32939</v>
          </cell>
        </row>
        <row r="2824">
          <cell r="P2824">
            <v>0</v>
          </cell>
          <cell r="S2824" t="str">
            <v xml:space="preserve">32939 </v>
          </cell>
          <cell r="AA2824">
            <v>32939</v>
          </cell>
        </row>
        <row r="2825">
          <cell r="P2825">
            <v>0</v>
          </cell>
          <cell r="S2825" t="str">
            <v xml:space="preserve">32939 </v>
          </cell>
          <cell r="AA2825">
            <v>32939</v>
          </cell>
        </row>
        <row r="2826">
          <cell r="P2826">
            <v>0</v>
          </cell>
          <cell r="S2826" t="str">
            <v xml:space="preserve">32939 </v>
          </cell>
          <cell r="AA2826">
            <v>32939</v>
          </cell>
        </row>
        <row r="2827">
          <cell r="P2827">
            <v>0</v>
          </cell>
          <cell r="S2827" t="str">
            <v xml:space="preserve">32939 </v>
          </cell>
          <cell r="AA2827">
            <v>32939</v>
          </cell>
        </row>
        <row r="2828">
          <cell r="P2828">
            <v>0</v>
          </cell>
          <cell r="S2828" t="str">
            <v xml:space="preserve">32939 </v>
          </cell>
          <cell r="AA2828">
            <v>32939</v>
          </cell>
        </row>
        <row r="2829">
          <cell r="P2829">
            <v>0</v>
          </cell>
          <cell r="S2829" t="str">
            <v xml:space="preserve">32939 </v>
          </cell>
          <cell r="AA2829">
            <v>32939</v>
          </cell>
        </row>
        <row r="2830">
          <cell r="P2830">
            <v>0</v>
          </cell>
          <cell r="S2830" t="str">
            <v xml:space="preserve">32939 </v>
          </cell>
          <cell r="AA2830">
            <v>32939</v>
          </cell>
        </row>
        <row r="2831">
          <cell r="P2831">
            <v>0</v>
          </cell>
          <cell r="S2831" t="str">
            <v xml:space="preserve">32939 </v>
          </cell>
          <cell r="AA2831">
            <v>32939</v>
          </cell>
        </row>
        <row r="2832">
          <cell r="P2832">
            <v>0</v>
          </cell>
          <cell r="S2832" t="str">
            <v xml:space="preserve">32939 </v>
          </cell>
          <cell r="AA2832">
            <v>32939</v>
          </cell>
        </row>
        <row r="2833">
          <cell r="P2833">
            <v>0</v>
          </cell>
          <cell r="S2833" t="str">
            <v xml:space="preserve">32939 </v>
          </cell>
          <cell r="AA2833">
            <v>32939</v>
          </cell>
        </row>
        <row r="2834">
          <cell r="P2834">
            <v>0</v>
          </cell>
          <cell r="S2834" t="str">
            <v xml:space="preserve">32939 </v>
          </cell>
          <cell r="AA2834">
            <v>32939</v>
          </cell>
        </row>
        <row r="2835">
          <cell r="P2835">
            <v>0</v>
          </cell>
          <cell r="S2835" t="str">
            <v xml:space="preserve">32939 </v>
          </cell>
          <cell r="AA2835">
            <v>32939</v>
          </cell>
        </row>
        <row r="2836">
          <cell r="P2836">
            <v>0</v>
          </cell>
          <cell r="S2836" t="str">
            <v xml:space="preserve">32939 </v>
          </cell>
          <cell r="AA2836">
            <v>32939</v>
          </cell>
        </row>
        <row r="2837">
          <cell r="P2837">
            <v>0</v>
          </cell>
          <cell r="S2837" t="str">
            <v xml:space="preserve">32939 </v>
          </cell>
          <cell r="AA2837">
            <v>32939</v>
          </cell>
        </row>
        <row r="2838">
          <cell r="P2838">
            <v>0</v>
          </cell>
          <cell r="S2838" t="str">
            <v xml:space="preserve">32939 </v>
          </cell>
          <cell r="AA2838">
            <v>32939</v>
          </cell>
        </row>
        <row r="2839">
          <cell r="P2839">
            <v>0</v>
          </cell>
          <cell r="S2839" t="str">
            <v xml:space="preserve">32939 </v>
          </cell>
          <cell r="AA2839">
            <v>32939</v>
          </cell>
        </row>
        <row r="2840">
          <cell r="P2840">
            <v>0</v>
          </cell>
          <cell r="S2840" t="str">
            <v xml:space="preserve">32939 </v>
          </cell>
          <cell r="AA2840">
            <v>32939</v>
          </cell>
        </row>
        <row r="2841">
          <cell r="P2841">
            <v>0</v>
          </cell>
          <cell r="S2841" t="str">
            <v xml:space="preserve">32939 </v>
          </cell>
          <cell r="AA2841">
            <v>32939</v>
          </cell>
        </row>
        <row r="2842">
          <cell r="P2842">
            <v>0</v>
          </cell>
          <cell r="S2842" t="str">
            <v xml:space="preserve">32939 </v>
          </cell>
          <cell r="AA2842">
            <v>32939</v>
          </cell>
        </row>
        <row r="2843">
          <cell r="P2843">
            <v>0</v>
          </cell>
          <cell r="S2843" t="str">
            <v xml:space="preserve">32939 </v>
          </cell>
          <cell r="AA2843">
            <v>32939</v>
          </cell>
        </row>
        <row r="2844">
          <cell r="P2844">
            <v>0</v>
          </cell>
          <cell r="S2844" t="str">
            <v xml:space="preserve">32939 </v>
          </cell>
          <cell r="AA2844">
            <v>32939</v>
          </cell>
        </row>
        <row r="2845">
          <cell r="P2845">
            <v>0</v>
          </cell>
          <cell r="S2845" t="str">
            <v xml:space="preserve">32939 </v>
          </cell>
          <cell r="AA2845">
            <v>32939</v>
          </cell>
        </row>
        <row r="2846">
          <cell r="P2846">
            <v>0</v>
          </cell>
          <cell r="S2846" t="str">
            <v xml:space="preserve">32939 </v>
          </cell>
          <cell r="AA2846">
            <v>32939</v>
          </cell>
        </row>
        <row r="2847">
          <cell r="P2847">
            <v>0</v>
          </cell>
          <cell r="S2847" t="str">
            <v xml:space="preserve">32939 </v>
          </cell>
          <cell r="AA2847">
            <v>32939</v>
          </cell>
        </row>
        <row r="2848">
          <cell r="P2848">
            <v>0</v>
          </cell>
          <cell r="S2848" t="str">
            <v xml:space="preserve">32939 </v>
          </cell>
          <cell r="AA2848">
            <v>32939</v>
          </cell>
        </row>
        <row r="2849">
          <cell r="P2849">
            <v>0</v>
          </cell>
          <cell r="S2849" t="str">
            <v xml:space="preserve">32939 </v>
          </cell>
          <cell r="AA2849">
            <v>32939</v>
          </cell>
        </row>
        <row r="2850">
          <cell r="P2850">
            <v>0</v>
          </cell>
          <cell r="S2850" t="str">
            <v xml:space="preserve">32939 </v>
          </cell>
          <cell r="AA2850">
            <v>32939</v>
          </cell>
        </row>
        <row r="2851">
          <cell r="P2851">
            <v>0</v>
          </cell>
          <cell r="S2851" t="str">
            <v xml:space="preserve">32939 </v>
          </cell>
          <cell r="AA2851">
            <v>32939</v>
          </cell>
        </row>
        <row r="2852">
          <cell r="P2852">
            <v>0</v>
          </cell>
          <cell r="S2852" t="str">
            <v xml:space="preserve">32939 </v>
          </cell>
          <cell r="AA2852">
            <v>32939</v>
          </cell>
        </row>
        <row r="2853">
          <cell r="P2853">
            <v>0</v>
          </cell>
          <cell r="S2853" t="str">
            <v xml:space="preserve">32939 </v>
          </cell>
          <cell r="AA2853">
            <v>32939</v>
          </cell>
        </row>
        <row r="2854">
          <cell r="P2854">
            <v>0</v>
          </cell>
          <cell r="S2854" t="str">
            <v xml:space="preserve">32939 </v>
          </cell>
          <cell r="AA2854">
            <v>32939</v>
          </cell>
        </row>
        <row r="2855">
          <cell r="P2855">
            <v>0</v>
          </cell>
          <cell r="S2855" t="str">
            <v xml:space="preserve">32939 </v>
          </cell>
          <cell r="AA2855">
            <v>32939</v>
          </cell>
        </row>
        <row r="2856">
          <cell r="P2856">
            <v>0</v>
          </cell>
          <cell r="S2856" t="str">
            <v xml:space="preserve">32939 </v>
          </cell>
          <cell r="AA2856">
            <v>32939</v>
          </cell>
        </row>
        <row r="2857">
          <cell r="P2857">
            <v>0</v>
          </cell>
          <cell r="S2857" t="str">
            <v xml:space="preserve">32939 </v>
          </cell>
          <cell r="AA2857">
            <v>32939</v>
          </cell>
        </row>
        <row r="2858">
          <cell r="P2858">
            <v>0</v>
          </cell>
          <cell r="S2858" t="str">
            <v xml:space="preserve">32939 </v>
          </cell>
          <cell r="AA2858">
            <v>32939</v>
          </cell>
        </row>
        <row r="2859">
          <cell r="P2859">
            <v>0</v>
          </cell>
          <cell r="S2859" t="str">
            <v xml:space="preserve">32939 </v>
          </cell>
          <cell r="AA2859">
            <v>32939</v>
          </cell>
        </row>
        <row r="2860">
          <cell r="P2860">
            <v>0</v>
          </cell>
          <cell r="S2860" t="str">
            <v xml:space="preserve">32939 </v>
          </cell>
          <cell r="AA2860">
            <v>32939</v>
          </cell>
        </row>
        <row r="2861">
          <cell r="P2861">
            <v>0</v>
          </cell>
          <cell r="S2861" t="str">
            <v xml:space="preserve">32939 </v>
          </cell>
          <cell r="AA2861">
            <v>32939</v>
          </cell>
        </row>
        <row r="2862">
          <cell r="P2862">
            <v>0</v>
          </cell>
          <cell r="S2862" t="str">
            <v xml:space="preserve">32939 </v>
          </cell>
          <cell r="AA2862">
            <v>32939</v>
          </cell>
        </row>
        <row r="2863">
          <cell r="P2863">
            <v>0</v>
          </cell>
          <cell r="S2863" t="str">
            <v xml:space="preserve">32939 </v>
          </cell>
          <cell r="AA2863">
            <v>32939</v>
          </cell>
        </row>
        <row r="2864">
          <cell r="P2864">
            <v>0</v>
          </cell>
          <cell r="S2864" t="str">
            <v xml:space="preserve">32939 </v>
          </cell>
          <cell r="AA2864">
            <v>32939</v>
          </cell>
        </row>
        <row r="2865">
          <cell r="P2865">
            <v>0</v>
          </cell>
          <cell r="S2865" t="str">
            <v xml:space="preserve">32939 </v>
          </cell>
          <cell r="AA2865">
            <v>32939</v>
          </cell>
        </row>
        <row r="2866">
          <cell r="P2866">
            <v>0</v>
          </cell>
          <cell r="S2866" t="str">
            <v xml:space="preserve">32939 </v>
          </cell>
          <cell r="AA2866">
            <v>32939</v>
          </cell>
        </row>
        <row r="2867">
          <cell r="P2867">
            <v>0</v>
          </cell>
          <cell r="S2867" t="str">
            <v xml:space="preserve">32939 </v>
          </cell>
          <cell r="AA2867">
            <v>32939</v>
          </cell>
        </row>
        <row r="2868">
          <cell r="P2868">
            <v>0</v>
          </cell>
          <cell r="S2868" t="str">
            <v xml:space="preserve">32939 </v>
          </cell>
          <cell r="AA2868">
            <v>32939</v>
          </cell>
        </row>
        <row r="2869">
          <cell r="P2869">
            <v>0</v>
          </cell>
          <cell r="S2869" t="str">
            <v xml:space="preserve">32939 </v>
          </cell>
          <cell r="AA2869">
            <v>32939</v>
          </cell>
        </row>
        <row r="2870">
          <cell r="P2870">
            <v>0</v>
          </cell>
          <cell r="S2870" t="str">
            <v xml:space="preserve">32939 </v>
          </cell>
          <cell r="AA2870">
            <v>32939</v>
          </cell>
        </row>
        <row r="2871">
          <cell r="P2871">
            <v>0</v>
          </cell>
          <cell r="S2871" t="str">
            <v xml:space="preserve">32939 </v>
          </cell>
          <cell r="AA2871">
            <v>32939</v>
          </cell>
        </row>
        <row r="2872">
          <cell r="P2872">
            <v>0</v>
          </cell>
          <cell r="S2872" t="str">
            <v xml:space="preserve">32939 </v>
          </cell>
          <cell r="AA2872">
            <v>32939</v>
          </cell>
        </row>
        <row r="2873">
          <cell r="P2873">
            <v>0</v>
          </cell>
          <cell r="S2873" t="str">
            <v xml:space="preserve">32939 </v>
          </cell>
          <cell r="AA2873">
            <v>32939</v>
          </cell>
        </row>
        <row r="2874">
          <cell r="P2874">
            <v>0</v>
          </cell>
          <cell r="S2874" t="str">
            <v xml:space="preserve">32939 </v>
          </cell>
          <cell r="AA2874">
            <v>32939</v>
          </cell>
        </row>
        <row r="2875">
          <cell r="P2875">
            <v>0</v>
          </cell>
          <cell r="S2875" t="str">
            <v xml:space="preserve">32939 </v>
          </cell>
          <cell r="AA2875">
            <v>32939</v>
          </cell>
        </row>
        <row r="2876">
          <cell r="P2876">
            <v>0</v>
          </cell>
          <cell r="S2876" t="str">
            <v xml:space="preserve">32939 </v>
          </cell>
          <cell r="AA2876">
            <v>32939</v>
          </cell>
        </row>
        <row r="2877">
          <cell r="P2877">
            <v>0</v>
          </cell>
          <cell r="S2877" t="str">
            <v xml:space="preserve">32939 </v>
          </cell>
          <cell r="AA2877">
            <v>32939</v>
          </cell>
        </row>
        <row r="2878">
          <cell r="P2878">
            <v>0</v>
          </cell>
          <cell r="S2878" t="str">
            <v xml:space="preserve">32939 </v>
          </cell>
          <cell r="AA2878">
            <v>32939</v>
          </cell>
        </row>
        <row r="2879">
          <cell r="P2879">
            <v>0</v>
          </cell>
          <cell r="S2879" t="str">
            <v xml:space="preserve">32939 </v>
          </cell>
          <cell r="AA2879">
            <v>32939</v>
          </cell>
        </row>
        <row r="2880">
          <cell r="P2880">
            <v>0</v>
          </cell>
          <cell r="S2880" t="str">
            <v xml:space="preserve">32939 </v>
          </cell>
          <cell r="AA2880">
            <v>32939</v>
          </cell>
        </row>
        <row r="2881">
          <cell r="P2881">
            <v>0</v>
          </cell>
          <cell r="S2881" t="str">
            <v xml:space="preserve">32939 </v>
          </cell>
          <cell r="AA2881">
            <v>32939</v>
          </cell>
        </row>
        <row r="2882">
          <cell r="P2882">
            <v>0</v>
          </cell>
          <cell r="S2882" t="str">
            <v xml:space="preserve">32939 </v>
          </cell>
          <cell r="AA2882">
            <v>32939</v>
          </cell>
        </row>
        <row r="2883">
          <cell r="P2883">
            <v>0</v>
          </cell>
          <cell r="S2883" t="str">
            <v xml:space="preserve">32939 </v>
          </cell>
          <cell r="AA2883">
            <v>32939</v>
          </cell>
        </row>
        <row r="2884">
          <cell r="P2884">
            <v>0</v>
          </cell>
          <cell r="S2884" t="str">
            <v xml:space="preserve">32939 </v>
          </cell>
          <cell r="AA2884">
            <v>32939</v>
          </cell>
        </row>
        <row r="2885">
          <cell r="P2885">
            <v>0</v>
          </cell>
          <cell r="S2885" t="str">
            <v xml:space="preserve">32939 </v>
          </cell>
          <cell r="AA2885">
            <v>32939</v>
          </cell>
        </row>
        <row r="2886">
          <cell r="P2886">
            <v>0</v>
          </cell>
          <cell r="S2886" t="str">
            <v xml:space="preserve">32939 </v>
          </cell>
          <cell r="AA2886">
            <v>32939</v>
          </cell>
        </row>
        <row r="2887">
          <cell r="P2887">
            <v>0</v>
          </cell>
          <cell r="S2887" t="str">
            <v xml:space="preserve">32939 </v>
          </cell>
          <cell r="AA2887">
            <v>32939</v>
          </cell>
        </row>
        <row r="2888">
          <cell r="P2888">
            <v>0</v>
          </cell>
          <cell r="S2888" t="str">
            <v xml:space="preserve">32939 </v>
          </cell>
          <cell r="AA2888">
            <v>32939</v>
          </cell>
        </row>
        <row r="2889">
          <cell r="P2889">
            <v>0</v>
          </cell>
          <cell r="S2889" t="str">
            <v xml:space="preserve">32939 </v>
          </cell>
          <cell r="AA2889">
            <v>32939</v>
          </cell>
        </row>
        <row r="2890">
          <cell r="P2890">
            <v>0</v>
          </cell>
          <cell r="S2890" t="str">
            <v xml:space="preserve">32939 </v>
          </cell>
          <cell r="AA2890">
            <v>32939</v>
          </cell>
        </row>
        <row r="2891">
          <cell r="P2891">
            <v>0</v>
          </cell>
          <cell r="S2891" t="str">
            <v xml:space="preserve">32939 </v>
          </cell>
          <cell r="AA2891">
            <v>32939</v>
          </cell>
        </row>
        <row r="2892">
          <cell r="P2892">
            <v>0</v>
          </cell>
          <cell r="S2892" t="str">
            <v xml:space="preserve">32939 </v>
          </cell>
          <cell r="AA2892">
            <v>32939</v>
          </cell>
        </row>
        <row r="2893">
          <cell r="P2893">
            <v>0</v>
          </cell>
          <cell r="S2893" t="str">
            <v xml:space="preserve">32939 </v>
          </cell>
          <cell r="AA2893">
            <v>32939</v>
          </cell>
        </row>
        <row r="2894">
          <cell r="P2894">
            <v>0</v>
          </cell>
          <cell r="S2894" t="str">
            <v xml:space="preserve">32939 </v>
          </cell>
          <cell r="AA2894">
            <v>32939</v>
          </cell>
        </row>
        <row r="2895">
          <cell r="P2895">
            <v>0</v>
          </cell>
          <cell r="S2895" t="str">
            <v xml:space="preserve">32939 </v>
          </cell>
          <cell r="AA2895">
            <v>32939</v>
          </cell>
        </row>
        <row r="2896">
          <cell r="P2896">
            <v>0</v>
          </cell>
          <cell r="S2896" t="str">
            <v xml:space="preserve">32939 </v>
          </cell>
          <cell r="AA2896">
            <v>32939</v>
          </cell>
        </row>
        <row r="2897">
          <cell r="P2897">
            <v>0</v>
          </cell>
          <cell r="S2897" t="str">
            <v xml:space="preserve">32939 </v>
          </cell>
          <cell r="AA2897">
            <v>32939</v>
          </cell>
        </row>
        <row r="2898">
          <cell r="P2898">
            <v>0</v>
          </cell>
          <cell r="S2898" t="str">
            <v xml:space="preserve">32939 </v>
          </cell>
          <cell r="AA2898">
            <v>32939</v>
          </cell>
        </row>
        <row r="2899">
          <cell r="P2899">
            <v>0</v>
          </cell>
          <cell r="S2899" t="str">
            <v xml:space="preserve">32939 </v>
          </cell>
          <cell r="AA2899">
            <v>32939</v>
          </cell>
        </row>
        <row r="2900">
          <cell r="P2900">
            <v>0</v>
          </cell>
          <cell r="S2900" t="str">
            <v xml:space="preserve">32939 </v>
          </cell>
          <cell r="AA2900">
            <v>32939</v>
          </cell>
        </row>
        <row r="2901">
          <cell r="P2901">
            <v>0</v>
          </cell>
          <cell r="S2901" t="str">
            <v xml:space="preserve">32939 </v>
          </cell>
          <cell r="AA2901">
            <v>32939</v>
          </cell>
        </row>
        <row r="2902">
          <cell r="P2902">
            <v>0</v>
          </cell>
          <cell r="S2902" t="str">
            <v xml:space="preserve">32939 </v>
          </cell>
          <cell r="AA2902">
            <v>32939</v>
          </cell>
        </row>
        <row r="2903">
          <cell r="P2903">
            <v>0</v>
          </cell>
          <cell r="S2903" t="str">
            <v xml:space="preserve">32939 </v>
          </cell>
          <cell r="AA2903">
            <v>32939</v>
          </cell>
        </row>
        <row r="2904">
          <cell r="P2904">
            <v>0</v>
          </cell>
          <cell r="S2904" t="str">
            <v xml:space="preserve">32939 </v>
          </cell>
          <cell r="AA2904">
            <v>32939</v>
          </cell>
        </row>
        <row r="2905">
          <cell r="P2905">
            <v>0</v>
          </cell>
          <cell r="S2905" t="str">
            <v xml:space="preserve">32939 </v>
          </cell>
          <cell r="AA2905">
            <v>32939</v>
          </cell>
        </row>
        <row r="2906">
          <cell r="P2906">
            <v>0</v>
          </cell>
          <cell r="S2906" t="str">
            <v xml:space="preserve">32939 </v>
          </cell>
          <cell r="AA2906">
            <v>32939</v>
          </cell>
        </row>
        <row r="2907">
          <cell r="P2907">
            <v>0</v>
          </cell>
          <cell r="S2907" t="str">
            <v xml:space="preserve">32939 </v>
          </cell>
          <cell r="AA2907">
            <v>32939</v>
          </cell>
        </row>
        <row r="2908">
          <cell r="P2908">
            <v>0</v>
          </cell>
          <cell r="S2908" t="str">
            <v xml:space="preserve">32939 </v>
          </cell>
          <cell r="AA2908">
            <v>32939</v>
          </cell>
        </row>
        <row r="2909">
          <cell r="P2909">
            <v>0</v>
          </cell>
          <cell r="S2909" t="str">
            <v xml:space="preserve">32939 </v>
          </cell>
          <cell r="AA2909">
            <v>32939</v>
          </cell>
        </row>
        <row r="2910">
          <cell r="P2910">
            <v>0</v>
          </cell>
          <cell r="S2910" t="str">
            <v xml:space="preserve">32939 </v>
          </cell>
          <cell r="AA2910">
            <v>32939</v>
          </cell>
        </row>
        <row r="2911">
          <cell r="P2911">
            <v>0</v>
          </cell>
          <cell r="S2911" t="str">
            <v xml:space="preserve">32939 </v>
          </cell>
          <cell r="AA2911">
            <v>32939</v>
          </cell>
        </row>
        <row r="2912">
          <cell r="P2912">
            <v>0</v>
          </cell>
          <cell r="S2912" t="str">
            <v xml:space="preserve">32939 </v>
          </cell>
          <cell r="AA2912">
            <v>32939</v>
          </cell>
        </row>
        <row r="2913">
          <cell r="P2913">
            <v>0</v>
          </cell>
          <cell r="S2913" t="str">
            <v xml:space="preserve">32939 </v>
          </cell>
          <cell r="AA2913">
            <v>32939</v>
          </cell>
        </row>
        <row r="2914">
          <cell r="P2914">
            <v>0</v>
          </cell>
          <cell r="S2914" t="str">
            <v xml:space="preserve">32939 </v>
          </cell>
          <cell r="AA2914">
            <v>32939</v>
          </cell>
        </row>
        <row r="2915">
          <cell r="P2915">
            <v>0</v>
          </cell>
          <cell r="S2915" t="str">
            <v xml:space="preserve">32939 </v>
          </cell>
          <cell r="AA2915">
            <v>32939</v>
          </cell>
        </row>
        <row r="2916">
          <cell r="P2916">
            <v>0</v>
          </cell>
          <cell r="S2916" t="str">
            <v xml:space="preserve">32939 </v>
          </cell>
          <cell r="AA2916">
            <v>32939</v>
          </cell>
        </row>
        <row r="2917">
          <cell r="P2917">
            <v>0</v>
          </cell>
          <cell r="S2917" t="str">
            <v xml:space="preserve">32939 </v>
          </cell>
          <cell r="AA2917">
            <v>32939</v>
          </cell>
        </row>
        <row r="2918">
          <cell r="P2918">
            <v>0</v>
          </cell>
          <cell r="S2918" t="str">
            <v xml:space="preserve">32939 </v>
          </cell>
          <cell r="AA2918">
            <v>32939</v>
          </cell>
        </row>
        <row r="2919">
          <cell r="P2919">
            <v>0</v>
          </cell>
          <cell r="S2919" t="str">
            <v xml:space="preserve">32939 </v>
          </cell>
          <cell r="AA2919">
            <v>32939</v>
          </cell>
        </row>
        <row r="2920">
          <cell r="P2920">
            <v>0</v>
          </cell>
          <cell r="S2920" t="str">
            <v xml:space="preserve">32939 </v>
          </cell>
          <cell r="AA2920">
            <v>32939</v>
          </cell>
        </row>
        <row r="2921">
          <cell r="P2921">
            <v>0</v>
          </cell>
          <cell r="S2921" t="str">
            <v xml:space="preserve">32939 </v>
          </cell>
          <cell r="AA2921">
            <v>32939</v>
          </cell>
        </row>
        <row r="2922">
          <cell r="P2922">
            <v>0</v>
          </cell>
          <cell r="S2922" t="str">
            <v xml:space="preserve">32939 </v>
          </cell>
          <cell r="AA2922">
            <v>32939</v>
          </cell>
        </row>
        <row r="2923">
          <cell r="P2923">
            <v>0</v>
          </cell>
          <cell r="S2923" t="str">
            <v xml:space="preserve">32939 </v>
          </cell>
          <cell r="AA2923">
            <v>32939</v>
          </cell>
        </row>
        <row r="2924">
          <cell r="P2924">
            <v>0</v>
          </cell>
          <cell r="S2924" t="str">
            <v xml:space="preserve">32939 </v>
          </cell>
          <cell r="AA2924">
            <v>32939</v>
          </cell>
        </row>
        <row r="2925">
          <cell r="P2925">
            <v>0</v>
          </cell>
          <cell r="S2925" t="str">
            <v xml:space="preserve">32939 </v>
          </cell>
          <cell r="AA2925">
            <v>32939</v>
          </cell>
        </row>
        <row r="2926">
          <cell r="P2926">
            <v>0</v>
          </cell>
          <cell r="S2926" t="str">
            <v xml:space="preserve">32939 </v>
          </cell>
          <cell r="AA2926">
            <v>32939</v>
          </cell>
        </row>
        <row r="2927">
          <cell r="P2927">
            <v>0</v>
          </cell>
          <cell r="S2927" t="str">
            <v xml:space="preserve">32939 </v>
          </cell>
          <cell r="AA2927">
            <v>32939</v>
          </cell>
        </row>
        <row r="2928">
          <cell r="P2928">
            <v>0</v>
          </cell>
          <cell r="S2928" t="str">
            <v xml:space="preserve">32939 </v>
          </cell>
          <cell r="AA2928">
            <v>32939</v>
          </cell>
        </row>
        <row r="2929">
          <cell r="P2929">
            <v>0</v>
          </cell>
          <cell r="S2929" t="str">
            <v xml:space="preserve">32939 </v>
          </cell>
          <cell r="AA2929">
            <v>32939</v>
          </cell>
        </row>
        <row r="2930">
          <cell r="P2930">
            <v>0</v>
          </cell>
          <cell r="S2930" t="str">
            <v xml:space="preserve">32939 </v>
          </cell>
          <cell r="AA2930">
            <v>32939</v>
          </cell>
        </row>
        <row r="2931">
          <cell r="P2931">
            <v>0</v>
          </cell>
          <cell r="S2931" t="str">
            <v xml:space="preserve">32939 </v>
          </cell>
          <cell r="AA2931">
            <v>32939</v>
          </cell>
        </row>
        <row r="2932">
          <cell r="P2932">
            <v>0</v>
          </cell>
          <cell r="S2932" t="str">
            <v xml:space="preserve">32939 </v>
          </cell>
          <cell r="AA2932">
            <v>32939</v>
          </cell>
        </row>
        <row r="2933">
          <cell r="P2933">
            <v>0</v>
          </cell>
          <cell r="S2933" t="str">
            <v xml:space="preserve">32939 </v>
          </cell>
          <cell r="AA2933">
            <v>32939</v>
          </cell>
        </row>
        <row r="2934">
          <cell r="P2934">
            <v>0</v>
          </cell>
          <cell r="S2934" t="str">
            <v xml:space="preserve">32939 </v>
          </cell>
          <cell r="AA2934">
            <v>32939</v>
          </cell>
        </row>
        <row r="2935">
          <cell r="P2935">
            <v>0</v>
          </cell>
          <cell r="S2935" t="str">
            <v xml:space="preserve">32939 </v>
          </cell>
          <cell r="AA2935">
            <v>32939</v>
          </cell>
        </row>
        <row r="2936">
          <cell r="P2936">
            <v>0</v>
          </cell>
          <cell r="S2936" t="str">
            <v xml:space="preserve">32939 </v>
          </cell>
          <cell r="AA2936">
            <v>32939</v>
          </cell>
        </row>
        <row r="2937">
          <cell r="P2937">
            <v>0</v>
          </cell>
          <cell r="S2937" t="str">
            <v xml:space="preserve">32939 </v>
          </cell>
          <cell r="AA2937">
            <v>32939</v>
          </cell>
        </row>
        <row r="2938">
          <cell r="P2938">
            <v>0</v>
          </cell>
          <cell r="S2938" t="str">
            <v xml:space="preserve">32939 </v>
          </cell>
          <cell r="AA2938">
            <v>32939</v>
          </cell>
        </row>
        <row r="2939">
          <cell r="P2939">
            <v>0</v>
          </cell>
          <cell r="S2939" t="str">
            <v xml:space="preserve">32939 </v>
          </cell>
          <cell r="AA2939">
            <v>32939</v>
          </cell>
        </row>
        <row r="2940">
          <cell r="P2940">
            <v>0</v>
          </cell>
          <cell r="S2940" t="str">
            <v xml:space="preserve">32939 </v>
          </cell>
          <cell r="AA2940">
            <v>32939</v>
          </cell>
        </row>
        <row r="2941">
          <cell r="P2941">
            <v>0</v>
          </cell>
          <cell r="S2941" t="str">
            <v xml:space="preserve">32939 </v>
          </cell>
          <cell r="AA2941">
            <v>32939</v>
          </cell>
        </row>
        <row r="2942">
          <cell r="P2942">
            <v>0</v>
          </cell>
          <cell r="S2942" t="str">
            <v xml:space="preserve">32939 </v>
          </cell>
          <cell r="AA2942">
            <v>32939</v>
          </cell>
        </row>
        <row r="2943">
          <cell r="P2943">
            <v>0</v>
          </cell>
          <cell r="S2943" t="str">
            <v xml:space="preserve">32939 </v>
          </cell>
          <cell r="AA2943">
            <v>32939</v>
          </cell>
        </row>
        <row r="2944">
          <cell r="P2944">
            <v>0</v>
          </cell>
          <cell r="S2944" t="str">
            <v xml:space="preserve">32939 </v>
          </cell>
          <cell r="AA2944">
            <v>32939</v>
          </cell>
        </row>
        <row r="2945">
          <cell r="P2945">
            <v>0</v>
          </cell>
          <cell r="S2945" t="str">
            <v xml:space="preserve">32939 </v>
          </cell>
          <cell r="AA2945">
            <v>32939</v>
          </cell>
        </row>
        <row r="2946">
          <cell r="P2946">
            <v>0</v>
          </cell>
          <cell r="S2946" t="str">
            <v xml:space="preserve">32939 </v>
          </cell>
          <cell r="AA2946">
            <v>32939</v>
          </cell>
        </row>
        <row r="2947">
          <cell r="P2947">
            <v>0</v>
          </cell>
          <cell r="S2947" t="str">
            <v xml:space="preserve">32939 </v>
          </cell>
          <cell r="AA2947">
            <v>32939</v>
          </cell>
        </row>
        <row r="2948">
          <cell r="P2948">
            <v>0</v>
          </cell>
          <cell r="S2948" t="str">
            <v xml:space="preserve">32939 </v>
          </cell>
          <cell r="AA2948">
            <v>32939</v>
          </cell>
        </row>
        <row r="2949">
          <cell r="P2949">
            <v>0</v>
          </cell>
          <cell r="S2949" t="str">
            <v xml:space="preserve">32939 </v>
          </cell>
          <cell r="AA2949">
            <v>32939</v>
          </cell>
        </row>
        <row r="2950">
          <cell r="P2950">
            <v>0</v>
          </cell>
          <cell r="S2950" t="str">
            <v xml:space="preserve">32939 </v>
          </cell>
          <cell r="AA2950">
            <v>32939</v>
          </cell>
        </row>
        <row r="2951">
          <cell r="P2951">
            <v>0</v>
          </cell>
          <cell r="S2951" t="str">
            <v xml:space="preserve">32939 </v>
          </cell>
          <cell r="AA2951">
            <v>32939</v>
          </cell>
        </row>
        <row r="2952">
          <cell r="P2952">
            <v>0</v>
          </cell>
          <cell r="S2952" t="str">
            <v xml:space="preserve">32939 </v>
          </cell>
          <cell r="AA2952">
            <v>32939</v>
          </cell>
        </row>
        <row r="2953">
          <cell r="P2953">
            <v>0</v>
          </cell>
          <cell r="S2953" t="str">
            <v xml:space="preserve">32939 </v>
          </cell>
          <cell r="AA2953">
            <v>32939</v>
          </cell>
        </row>
        <row r="2954">
          <cell r="P2954">
            <v>0</v>
          </cell>
          <cell r="S2954" t="str">
            <v xml:space="preserve">32939 </v>
          </cell>
          <cell r="AA2954">
            <v>32939</v>
          </cell>
        </row>
        <row r="2955">
          <cell r="P2955">
            <v>0</v>
          </cell>
          <cell r="S2955" t="str">
            <v xml:space="preserve">32939 </v>
          </cell>
          <cell r="AA2955">
            <v>32939</v>
          </cell>
        </row>
        <row r="2956">
          <cell r="P2956">
            <v>0</v>
          </cell>
          <cell r="S2956" t="str">
            <v xml:space="preserve">32939 </v>
          </cell>
          <cell r="AA2956">
            <v>32939</v>
          </cell>
        </row>
        <row r="2957">
          <cell r="P2957">
            <v>0</v>
          </cell>
          <cell r="S2957" t="str">
            <v xml:space="preserve">32939 </v>
          </cell>
          <cell r="AA2957">
            <v>32939</v>
          </cell>
        </row>
        <row r="2958">
          <cell r="P2958">
            <v>0</v>
          </cell>
          <cell r="S2958" t="str">
            <v xml:space="preserve">32939 </v>
          </cell>
          <cell r="AA2958">
            <v>32939</v>
          </cell>
        </row>
        <row r="2959">
          <cell r="P2959">
            <v>0</v>
          </cell>
          <cell r="S2959" t="str">
            <v xml:space="preserve">32939 </v>
          </cell>
          <cell r="AA2959">
            <v>32939</v>
          </cell>
        </row>
        <row r="2960">
          <cell r="P2960">
            <v>0</v>
          </cell>
          <cell r="S2960" t="str">
            <v xml:space="preserve">32939 </v>
          </cell>
          <cell r="AA2960">
            <v>32939</v>
          </cell>
        </row>
        <row r="2961">
          <cell r="P2961">
            <v>0</v>
          </cell>
          <cell r="S2961" t="str">
            <v xml:space="preserve">32939 </v>
          </cell>
          <cell r="AA2961">
            <v>32939</v>
          </cell>
        </row>
        <row r="2962">
          <cell r="P2962">
            <v>0</v>
          </cell>
          <cell r="S2962" t="str">
            <v xml:space="preserve">32939 </v>
          </cell>
          <cell r="AA2962">
            <v>32939</v>
          </cell>
        </row>
        <row r="2963">
          <cell r="P2963">
            <v>0</v>
          </cell>
          <cell r="S2963" t="str">
            <v xml:space="preserve">32939 </v>
          </cell>
          <cell r="AA2963">
            <v>32939</v>
          </cell>
        </row>
        <row r="2964">
          <cell r="P2964">
            <v>0</v>
          </cell>
          <cell r="S2964" t="str">
            <v xml:space="preserve">32939 </v>
          </cell>
          <cell r="AA2964">
            <v>32939</v>
          </cell>
        </row>
        <row r="2965">
          <cell r="P2965">
            <v>0</v>
          </cell>
          <cell r="S2965" t="str">
            <v xml:space="preserve">32939 </v>
          </cell>
          <cell r="AA2965">
            <v>32939</v>
          </cell>
        </row>
        <row r="2966">
          <cell r="P2966">
            <v>0</v>
          </cell>
          <cell r="S2966" t="str">
            <v xml:space="preserve">32939 </v>
          </cell>
          <cell r="AA2966">
            <v>32939</v>
          </cell>
        </row>
        <row r="2967">
          <cell r="P2967">
            <v>0</v>
          </cell>
          <cell r="S2967" t="str">
            <v xml:space="preserve">32939 </v>
          </cell>
          <cell r="AA2967">
            <v>32939</v>
          </cell>
        </row>
        <row r="2968">
          <cell r="P2968">
            <v>0</v>
          </cell>
          <cell r="S2968" t="str">
            <v xml:space="preserve">32939 </v>
          </cell>
          <cell r="AA2968">
            <v>32939</v>
          </cell>
        </row>
        <row r="2969">
          <cell r="P2969">
            <v>0</v>
          </cell>
          <cell r="S2969" t="str">
            <v xml:space="preserve">32939 </v>
          </cell>
          <cell r="AA2969">
            <v>32939</v>
          </cell>
        </row>
        <row r="2970">
          <cell r="P2970">
            <v>0</v>
          </cell>
          <cell r="S2970" t="str">
            <v xml:space="preserve">32939 </v>
          </cell>
          <cell r="AA2970">
            <v>32939</v>
          </cell>
        </row>
        <row r="2971">
          <cell r="P2971">
            <v>0</v>
          </cell>
          <cell r="S2971" t="str">
            <v xml:space="preserve">32939 </v>
          </cell>
          <cell r="AA2971">
            <v>32939</v>
          </cell>
        </row>
        <row r="2972">
          <cell r="P2972">
            <v>0</v>
          </cell>
          <cell r="S2972" t="str">
            <v xml:space="preserve">32939 </v>
          </cell>
          <cell r="AA2972">
            <v>32939</v>
          </cell>
        </row>
        <row r="2973">
          <cell r="P2973">
            <v>0</v>
          </cell>
          <cell r="S2973" t="str">
            <v xml:space="preserve">32939 </v>
          </cell>
          <cell r="AA2973">
            <v>32939</v>
          </cell>
        </row>
        <row r="2974">
          <cell r="P2974">
            <v>0</v>
          </cell>
          <cell r="S2974" t="str">
            <v xml:space="preserve">32939 </v>
          </cell>
          <cell r="AA2974">
            <v>32939</v>
          </cell>
        </row>
        <row r="2975">
          <cell r="P2975">
            <v>0</v>
          </cell>
          <cell r="S2975" t="str">
            <v xml:space="preserve">32939 </v>
          </cell>
          <cell r="AA2975">
            <v>32939</v>
          </cell>
        </row>
        <row r="2976">
          <cell r="P2976">
            <v>0</v>
          </cell>
          <cell r="S2976" t="str">
            <v xml:space="preserve">32939 </v>
          </cell>
          <cell r="AA2976">
            <v>32939</v>
          </cell>
        </row>
        <row r="2977">
          <cell r="P2977">
            <v>0</v>
          </cell>
          <cell r="S2977" t="str">
            <v xml:space="preserve">32939 </v>
          </cell>
          <cell r="AA2977">
            <v>32939</v>
          </cell>
        </row>
        <row r="2978">
          <cell r="P2978">
            <v>0</v>
          </cell>
          <cell r="S2978" t="str">
            <v xml:space="preserve">32939 </v>
          </cell>
          <cell r="AA2978">
            <v>32939</v>
          </cell>
        </row>
        <row r="2979">
          <cell r="P2979">
            <v>0</v>
          </cell>
          <cell r="S2979" t="str">
            <v xml:space="preserve">32939 </v>
          </cell>
          <cell r="AA2979">
            <v>32939</v>
          </cell>
        </row>
        <row r="2980">
          <cell r="P2980">
            <v>0</v>
          </cell>
          <cell r="S2980" t="str">
            <v xml:space="preserve">32939 </v>
          </cell>
          <cell r="AA2980">
            <v>32939</v>
          </cell>
        </row>
        <row r="2981">
          <cell r="P2981">
            <v>0</v>
          </cell>
          <cell r="S2981" t="str">
            <v xml:space="preserve">32939 </v>
          </cell>
          <cell r="AA2981">
            <v>32939</v>
          </cell>
        </row>
        <row r="2982">
          <cell r="P2982">
            <v>0</v>
          </cell>
          <cell r="S2982" t="str">
            <v xml:space="preserve">32939 </v>
          </cell>
          <cell r="AA2982">
            <v>32939</v>
          </cell>
        </row>
        <row r="2983">
          <cell r="P2983">
            <v>0</v>
          </cell>
          <cell r="S2983" t="str">
            <v xml:space="preserve">32939 </v>
          </cell>
          <cell r="AA2983">
            <v>32939</v>
          </cell>
        </row>
        <row r="2984">
          <cell r="P2984">
            <v>0</v>
          </cell>
          <cell r="S2984" t="str">
            <v xml:space="preserve">32939 </v>
          </cell>
          <cell r="AA2984">
            <v>32939</v>
          </cell>
        </row>
        <row r="2985">
          <cell r="P2985">
            <v>0</v>
          </cell>
          <cell r="S2985" t="str">
            <v xml:space="preserve">32939 </v>
          </cell>
          <cell r="AA2985">
            <v>32939</v>
          </cell>
        </row>
        <row r="2986">
          <cell r="P2986">
            <v>0</v>
          </cell>
          <cell r="S2986" t="str">
            <v xml:space="preserve">32939 </v>
          </cell>
          <cell r="AA2986">
            <v>32939</v>
          </cell>
        </row>
        <row r="2987">
          <cell r="P2987">
            <v>0</v>
          </cell>
          <cell r="S2987" t="str">
            <v xml:space="preserve">32939 </v>
          </cell>
          <cell r="AA2987">
            <v>32939</v>
          </cell>
        </row>
        <row r="2988">
          <cell r="P2988">
            <v>0</v>
          </cell>
          <cell r="S2988" t="str">
            <v xml:space="preserve">32939 </v>
          </cell>
          <cell r="AA2988">
            <v>32939</v>
          </cell>
        </row>
        <row r="2989">
          <cell r="P2989">
            <v>0</v>
          </cell>
          <cell r="S2989" t="str">
            <v xml:space="preserve">32939 </v>
          </cell>
          <cell r="AA2989">
            <v>32939</v>
          </cell>
        </row>
        <row r="2990">
          <cell r="P2990">
            <v>0</v>
          </cell>
          <cell r="S2990" t="str">
            <v xml:space="preserve">32939 </v>
          </cell>
          <cell r="AA2990">
            <v>32939</v>
          </cell>
        </row>
        <row r="2991">
          <cell r="P2991">
            <v>0</v>
          </cell>
          <cell r="S2991" t="str">
            <v xml:space="preserve">32939 </v>
          </cell>
          <cell r="AA2991">
            <v>32939</v>
          </cell>
        </row>
        <row r="2992">
          <cell r="P2992">
            <v>0</v>
          </cell>
          <cell r="S2992" t="str">
            <v xml:space="preserve">32939 </v>
          </cell>
          <cell r="AA2992">
            <v>32939</v>
          </cell>
        </row>
        <row r="2993">
          <cell r="P2993">
            <v>0</v>
          </cell>
          <cell r="S2993" t="str">
            <v xml:space="preserve">32939 </v>
          </cell>
          <cell r="AA2993">
            <v>32939</v>
          </cell>
        </row>
        <row r="2994">
          <cell r="P2994">
            <v>0</v>
          </cell>
          <cell r="S2994" t="str">
            <v xml:space="preserve">32939 </v>
          </cell>
          <cell r="AA2994">
            <v>32939</v>
          </cell>
        </row>
        <row r="2995">
          <cell r="P2995">
            <v>0</v>
          </cell>
          <cell r="S2995" t="str">
            <v xml:space="preserve">32939 </v>
          </cell>
          <cell r="AA2995">
            <v>32939</v>
          </cell>
        </row>
        <row r="2996">
          <cell r="P2996">
            <v>0</v>
          </cell>
          <cell r="S2996" t="str">
            <v xml:space="preserve">32939 </v>
          </cell>
          <cell r="AA2996">
            <v>32939</v>
          </cell>
        </row>
        <row r="2997">
          <cell r="P2997">
            <v>0</v>
          </cell>
          <cell r="S2997" t="str">
            <v xml:space="preserve">32939 </v>
          </cell>
          <cell r="AA2997">
            <v>32939</v>
          </cell>
        </row>
        <row r="2998">
          <cell r="P2998">
            <v>0</v>
          </cell>
          <cell r="S2998" t="str">
            <v xml:space="preserve">32939 </v>
          </cell>
          <cell r="AA2998">
            <v>32939</v>
          </cell>
        </row>
        <row r="2999">
          <cell r="P2999">
            <v>0</v>
          </cell>
          <cell r="S2999" t="str">
            <v xml:space="preserve">32939 </v>
          </cell>
          <cell r="AA2999">
            <v>32939</v>
          </cell>
        </row>
        <row r="3000">
          <cell r="P3000">
            <v>0</v>
          </cell>
          <cell r="S3000" t="str">
            <v xml:space="preserve">32939 </v>
          </cell>
          <cell r="AA3000">
            <v>32939</v>
          </cell>
        </row>
        <row r="3001">
          <cell r="P3001">
            <v>0</v>
          </cell>
          <cell r="S3001" t="str">
            <v xml:space="preserve">32939 </v>
          </cell>
          <cell r="AA3001">
            <v>32939</v>
          </cell>
        </row>
        <row r="3002">
          <cell r="P3002">
            <v>0</v>
          </cell>
          <cell r="S3002" t="str">
            <v xml:space="preserve">32939 </v>
          </cell>
          <cell r="AA3002">
            <v>32939</v>
          </cell>
        </row>
        <row r="3003">
          <cell r="P3003">
            <v>0</v>
          </cell>
          <cell r="S3003" t="str">
            <v xml:space="preserve">32939 </v>
          </cell>
          <cell r="AA3003">
            <v>32939</v>
          </cell>
        </row>
        <row r="3004">
          <cell r="P3004">
            <v>0</v>
          </cell>
          <cell r="S3004" t="str">
            <v xml:space="preserve">32939 </v>
          </cell>
          <cell r="AA3004">
            <v>32939</v>
          </cell>
        </row>
        <row r="3005">
          <cell r="P3005">
            <v>0</v>
          </cell>
          <cell r="S3005" t="str">
            <v xml:space="preserve">32939 </v>
          </cell>
          <cell r="AA3005">
            <v>32939</v>
          </cell>
        </row>
        <row r="3006">
          <cell r="P3006">
            <v>0</v>
          </cell>
          <cell r="S3006" t="str">
            <v xml:space="preserve">32939 </v>
          </cell>
          <cell r="AA3006">
            <v>32939</v>
          </cell>
        </row>
        <row r="3007">
          <cell r="P3007">
            <v>0</v>
          </cell>
          <cell r="S3007" t="str">
            <v xml:space="preserve">32939 </v>
          </cell>
          <cell r="AA3007">
            <v>32939</v>
          </cell>
        </row>
        <row r="3008">
          <cell r="P3008">
            <v>0</v>
          </cell>
          <cell r="S3008" t="str">
            <v xml:space="preserve">32939 </v>
          </cell>
          <cell r="AA3008">
            <v>32939</v>
          </cell>
        </row>
        <row r="3009">
          <cell r="P3009">
            <v>0</v>
          </cell>
          <cell r="S3009" t="str">
            <v xml:space="preserve">32939 </v>
          </cell>
          <cell r="AA3009">
            <v>32939</v>
          </cell>
        </row>
        <row r="3010">
          <cell r="P3010">
            <v>0</v>
          </cell>
          <cell r="S3010" t="str">
            <v xml:space="preserve">32939 </v>
          </cell>
          <cell r="AA3010">
            <v>32939</v>
          </cell>
        </row>
        <row r="3011">
          <cell r="P3011">
            <v>0</v>
          </cell>
          <cell r="S3011" t="str">
            <v xml:space="preserve">32939 </v>
          </cell>
          <cell r="AA3011">
            <v>32939</v>
          </cell>
        </row>
        <row r="3012">
          <cell r="P3012">
            <v>0</v>
          </cell>
          <cell r="S3012" t="str">
            <v xml:space="preserve">32939 </v>
          </cell>
          <cell r="AA3012">
            <v>32939</v>
          </cell>
        </row>
        <row r="3013">
          <cell r="P3013">
            <v>0</v>
          </cell>
          <cell r="S3013" t="str">
            <v xml:space="preserve">32939 </v>
          </cell>
          <cell r="AA3013">
            <v>32939</v>
          </cell>
        </row>
        <row r="3014">
          <cell r="P3014">
            <v>0</v>
          </cell>
          <cell r="S3014" t="str">
            <v xml:space="preserve">32939 </v>
          </cell>
          <cell r="AA3014">
            <v>32939</v>
          </cell>
        </row>
        <row r="3015">
          <cell r="P3015">
            <v>0</v>
          </cell>
          <cell r="S3015" t="str">
            <v xml:space="preserve">32939 </v>
          </cell>
          <cell r="AA3015">
            <v>32939</v>
          </cell>
        </row>
        <row r="3016">
          <cell r="P3016">
            <v>0</v>
          </cell>
          <cell r="S3016" t="str">
            <v xml:space="preserve">32939 </v>
          </cell>
          <cell r="AA3016">
            <v>32939</v>
          </cell>
        </row>
        <row r="3017">
          <cell r="P3017">
            <v>0</v>
          </cell>
          <cell r="S3017" t="str">
            <v xml:space="preserve">32939 </v>
          </cell>
          <cell r="AA3017">
            <v>32939</v>
          </cell>
        </row>
        <row r="3018">
          <cell r="P3018">
            <v>0</v>
          </cell>
          <cell r="S3018" t="str">
            <v xml:space="preserve">32939 </v>
          </cell>
          <cell r="AA3018">
            <v>32939</v>
          </cell>
        </row>
        <row r="3019">
          <cell r="P3019">
            <v>0</v>
          </cell>
          <cell r="S3019" t="str">
            <v xml:space="preserve">32939 </v>
          </cell>
          <cell r="AA3019">
            <v>32939</v>
          </cell>
        </row>
        <row r="3020">
          <cell r="P3020">
            <v>0</v>
          </cell>
          <cell r="S3020" t="str">
            <v xml:space="preserve">32939 </v>
          </cell>
          <cell r="AA3020">
            <v>32939</v>
          </cell>
        </row>
        <row r="3021">
          <cell r="P3021">
            <v>0</v>
          </cell>
          <cell r="S3021" t="str">
            <v xml:space="preserve">32939 </v>
          </cell>
          <cell r="AA3021">
            <v>32939</v>
          </cell>
        </row>
        <row r="3022">
          <cell r="P3022">
            <v>0</v>
          </cell>
          <cell r="S3022" t="str">
            <v xml:space="preserve">32939 </v>
          </cell>
          <cell r="AA3022">
            <v>32939</v>
          </cell>
        </row>
        <row r="3023">
          <cell r="P3023">
            <v>0</v>
          </cell>
          <cell r="S3023" t="str">
            <v xml:space="preserve">32939 </v>
          </cell>
          <cell r="AA3023">
            <v>32939</v>
          </cell>
        </row>
        <row r="3024">
          <cell r="P3024">
            <v>0</v>
          </cell>
          <cell r="S3024" t="str">
            <v xml:space="preserve">32939 </v>
          </cell>
          <cell r="AA3024">
            <v>32939</v>
          </cell>
        </row>
        <row r="3025">
          <cell r="P3025">
            <v>0</v>
          </cell>
          <cell r="S3025" t="str">
            <v xml:space="preserve">32939 </v>
          </cell>
          <cell r="AA3025">
            <v>32939</v>
          </cell>
        </row>
        <row r="3026">
          <cell r="P3026">
            <v>0</v>
          </cell>
          <cell r="S3026" t="str">
            <v xml:space="preserve">32939 </v>
          </cell>
          <cell r="AA3026">
            <v>32939</v>
          </cell>
        </row>
        <row r="3027">
          <cell r="P3027">
            <v>0</v>
          </cell>
          <cell r="S3027" t="str">
            <v xml:space="preserve">32939 </v>
          </cell>
          <cell r="AA3027">
            <v>32939</v>
          </cell>
        </row>
        <row r="3028">
          <cell r="P3028">
            <v>0</v>
          </cell>
          <cell r="S3028" t="str">
            <v xml:space="preserve">32939 </v>
          </cell>
          <cell r="AA3028">
            <v>32939</v>
          </cell>
        </row>
        <row r="3029">
          <cell r="P3029">
            <v>0</v>
          </cell>
          <cell r="S3029" t="str">
            <v xml:space="preserve">32939 </v>
          </cell>
          <cell r="AA3029">
            <v>32939</v>
          </cell>
        </row>
        <row r="3030">
          <cell r="P3030">
            <v>0</v>
          </cell>
          <cell r="S3030" t="str">
            <v xml:space="preserve">32939 </v>
          </cell>
          <cell r="AA3030">
            <v>32939</v>
          </cell>
        </row>
        <row r="3031">
          <cell r="P3031">
            <v>0</v>
          </cell>
          <cell r="S3031" t="str">
            <v xml:space="preserve">32939 </v>
          </cell>
          <cell r="AA3031">
            <v>32939</v>
          </cell>
        </row>
        <row r="3032">
          <cell r="P3032">
            <v>0</v>
          </cell>
          <cell r="S3032" t="str">
            <v xml:space="preserve">32939 </v>
          </cell>
          <cell r="AA3032">
            <v>32939</v>
          </cell>
        </row>
        <row r="3033">
          <cell r="P3033">
            <v>0</v>
          </cell>
          <cell r="S3033" t="str">
            <v xml:space="preserve">32939 </v>
          </cell>
          <cell r="AA3033">
            <v>32939</v>
          </cell>
        </row>
        <row r="3034">
          <cell r="P3034">
            <v>0</v>
          </cell>
          <cell r="S3034" t="str">
            <v xml:space="preserve">32939 </v>
          </cell>
          <cell r="AA3034">
            <v>32939</v>
          </cell>
        </row>
        <row r="3035">
          <cell r="P3035">
            <v>0</v>
          </cell>
          <cell r="S3035" t="str">
            <v xml:space="preserve">32939 </v>
          </cell>
          <cell r="AA3035">
            <v>32939</v>
          </cell>
        </row>
        <row r="3036">
          <cell r="P3036">
            <v>0</v>
          </cell>
          <cell r="S3036" t="str">
            <v xml:space="preserve">32939 </v>
          </cell>
          <cell r="AA3036">
            <v>32939</v>
          </cell>
        </row>
        <row r="3037">
          <cell r="P3037">
            <v>0</v>
          </cell>
          <cell r="S3037" t="str">
            <v xml:space="preserve">32939 </v>
          </cell>
          <cell r="AA3037">
            <v>32939</v>
          </cell>
        </row>
        <row r="3038">
          <cell r="P3038">
            <v>0</v>
          </cell>
          <cell r="S3038" t="str">
            <v xml:space="preserve">32939 </v>
          </cell>
          <cell r="AA3038">
            <v>32939</v>
          </cell>
        </row>
        <row r="3039">
          <cell r="P3039">
            <v>0</v>
          </cell>
          <cell r="S3039" t="str">
            <v xml:space="preserve">32939 </v>
          </cell>
          <cell r="AA3039">
            <v>32939</v>
          </cell>
        </row>
        <row r="3040">
          <cell r="P3040">
            <v>0</v>
          </cell>
          <cell r="S3040" t="str">
            <v xml:space="preserve">32939 </v>
          </cell>
          <cell r="AA3040">
            <v>32939</v>
          </cell>
        </row>
        <row r="3041">
          <cell r="P3041">
            <v>0</v>
          </cell>
          <cell r="S3041" t="str">
            <v xml:space="preserve">32939 </v>
          </cell>
          <cell r="AA3041">
            <v>32939</v>
          </cell>
        </row>
        <row r="3042">
          <cell r="P3042">
            <v>0</v>
          </cell>
          <cell r="S3042" t="str">
            <v xml:space="preserve">32939 </v>
          </cell>
          <cell r="AA3042">
            <v>32939</v>
          </cell>
        </row>
        <row r="3043">
          <cell r="P3043">
            <v>0</v>
          </cell>
          <cell r="S3043" t="str">
            <v xml:space="preserve">32939 </v>
          </cell>
          <cell r="AA3043">
            <v>32939</v>
          </cell>
        </row>
        <row r="3044">
          <cell r="P3044">
            <v>0</v>
          </cell>
          <cell r="S3044" t="str">
            <v xml:space="preserve">32939 </v>
          </cell>
          <cell r="AA3044">
            <v>32939</v>
          </cell>
        </row>
        <row r="3045">
          <cell r="P3045">
            <v>0</v>
          </cell>
          <cell r="S3045" t="str">
            <v xml:space="preserve">32939 </v>
          </cell>
          <cell r="AA3045">
            <v>32939</v>
          </cell>
        </row>
        <row r="3046">
          <cell r="P3046">
            <v>0</v>
          </cell>
          <cell r="S3046" t="str">
            <v xml:space="preserve">32939 </v>
          </cell>
          <cell r="AA3046">
            <v>32939</v>
          </cell>
        </row>
        <row r="3047">
          <cell r="P3047">
            <v>0</v>
          </cell>
          <cell r="S3047" t="str">
            <v xml:space="preserve">32939 </v>
          </cell>
          <cell r="AA3047">
            <v>32939</v>
          </cell>
        </row>
        <row r="3048">
          <cell r="P3048">
            <v>0</v>
          </cell>
          <cell r="S3048" t="str">
            <v xml:space="preserve">32939 </v>
          </cell>
          <cell r="AA3048">
            <v>32939</v>
          </cell>
        </row>
        <row r="3049">
          <cell r="P3049">
            <v>0</v>
          </cell>
          <cell r="S3049" t="str">
            <v xml:space="preserve">32939 </v>
          </cell>
          <cell r="AA3049">
            <v>32939</v>
          </cell>
        </row>
        <row r="3050">
          <cell r="P3050">
            <v>0</v>
          </cell>
          <cell r="S3050" t="str">
            <v xml:space="preserve">32939 </v>
          </cell>
          <cell r="AA3050">
            <v>32939</v>
          </cell>
        </row>
        <row r="3051">
          <cell r="P3051">
            <v>0</v>
          </cell>
          <cell r="S3051" t="str">
            <v xml:space="preserve">32939 </v>
          </cell>
          <cell r="AA3051">
            <v>32939</v>
          </cell>
        </row>
        <row r="3052">
          <cell r="P3052">
            <v>0</v>
          </cell>
          <cell r="S3052" t="str">
            <v xml:space="preserve">32939 </v>
          </cell>
          <cell r="AA3052">
            <v>32939</v>
          </cell>
        </row>
        <row r="3053">
          <cell r="P3053">
            <v>0</v>
          </cell>
          <cell r="S3053" t="str">
            <v xml:space="preserve">32939 </v>
          </cell>
          <cell r="AA3053">
            <v>32939</v>
          </cell>
        </row>
        <row r="3054">
          <cell r="P3054">
            <v>0</v>
          </cell>
          <cell r="S3054" t="str">
            <v xml:space="preserve">32939 </v>
          </cell>
          <cell r="AA3054">
            <v>32939</v>
          </cell>
        </row>
        <row r="3055">
          <cell r="P3055">
            <v>0</v>
          </cell>
          <cell r="S3055" t="str">
            <v xml:space="preserve">32939 </v>
          </cell>
          <cell r="AA3055">
            <v>32939</v>
          </cell>
        </row>
        <row r="3056">
          <cell r="P3056">
            <v>0</v>
          </cell>
          <cell r="S3056" t="str">
            <v xml:space="preserve">32939 </v>
          </cell>
          <cell r="AA3056">
            <v>32939</v>
          </cell>
        </row>
        <row r="3057">
          <cell r="P3057">
            <v>0</v>
          </cell>
          <cell r="S3057" t="str">
            <v xml:space="preserve">32939 </v>
          </cell>
          <cell r="AA3057">
            <v>32939</v>
          </cell>
        </row>
        <row r="3058">
          <cell r="P3058">
            <v>0</v>
          </cell>
          <cell r="S3058" t="str">
            <v xml:space="preserve">32939 </v>
          </cell>
          <cell r="AA3058">
            <v>32939</v>
          </cell>
        </row>
        <row r="3059">
          <cell r="P3059">
            <v>0</v>
          </cell>
          <cell r="S3059" t="str">
            <v xml:space="preserve">32939 </v>
          </cell>
          <cell r="AA3059">
            <v>32939</v>
          </cell>
        </row>
        <row r="3060">
          <cell r="P3060">
            <v>0</v>
          </cell>
          <cell r="S3060" t="str">
            <v xml:space="preserve">32939 </v>
          </cell>
          <cell r="AA3060">
            <v>32939</v>
          </cell>
        </row>
        <row r="3061">
          <cell r="P3061">
            <v>0</v>
          </cell>
          <cell r="S3061" t="str">
            <v xml:space="preserve">32939 </v>
          </cell>
          <cell r="AA3061">
            <v>32939</v>
          </cell>
        </row>
        <row r="3062">
          <cell r="P3062">
            <v>0</v>
          </cell>
          <cell r="S3062" t="str">
            <v xml:space="preserve">32939 </v>
          </cell>
          <cell r="AA3062">
            <v>32939</v>
          </cell>
        </row>
        <row r="3063">
          <cell r="P3063">
            <v>0</v>
          </cell>
          <cell r="S3063" t="str">
            <v xml:space="preserve">32939 </v>
          </cell>
          <cell r="AA3063">
            <v>32939</v>
          </cell>
        </row>
        <row r="3064">
          <cell r="P3064">
            <v>0</v>
          </cell>
          <cell r="S3064" t="str">
            <v xml:space="preserve">32939 </v>
          </cell>
          <cell r="AA3064">
            <v>32939</v>
          </cell>
        </row>
        <row r="3065">
          <cell r="P3065">
            <v>0</v>
          </cell>
          <cell r="S3065" t="str">
            <v xml:space="preserve">32939 </v>
          </cell>
          <cell r="AA3065">
            <v>32939</v>
          </cell>
        </row>
        <row r="3066">
          <cell r="P3066">
            <v>0</v>
          </cell>
          <cell r="S3066" t="str">
            <v xml:space="preserve">32939 </v>
          </cell>
          <cell r="AA3066">
            <v>32939</v>
          </cell>
        </row>
        <row r="3067">
          <cell r="P3067">
            <v>0</v>
          </cell>
          <cell r="S3067" t="str">
            <v xml:space="preserve">32939 </v>
          </cell>
          <cell r="AA3067">
            <v>32939</v>
          </cell>
        </row>
        <row r="3068">
          <cell r="P3068">
            <v>0</v>
          </cell>
          <cell r="S3068" t="str">
            <v xml:space="preserve">32939 </v>
          </cell>
          <cell r="AA3068">
            <v>32939</v>
          </cell>
        </row>
        <row r="3069">
          <cell r="P3069">
            <v>0</v>
          </cell>
          <cell r="S3069" t="str">
            <v xml:space="preserve">32939 </v>
          </cell>
          <cell r="AA3069">
            <v>32939</v>
          </cell>
        </row>
        <row r="3070">
          <cell r="P3070">
            <v>0</v>
          </cell>
          <cell r="S3070" t="str">
            <v xml:space="preserve">32939 </v>
          </cell>
          <cell r="AA3070">
            <v>32939</v>
          </cell>
        </row>
        <row r="3071">
          <cell r="P3071">
            <v>0</v>
          </cell>
          <cell r="S3071" t="str">
            <v xml:space="preserve">32939 </v>
          </cell>
          <cell r="AA3071">
            <v>32939</v>
          </cell>
        </row>
        <row r="3072">
          <cell r="P3072">
            <v>0</v>
          </cell>
          <cell r="S3072" t="str">
            <v xml:space="preserve">32939 </v>
          </cell>
          <cell r="AA3072">
            <v>32939</v>
          </cell>
        </row>
        <row r="3073">
          <cell r="P3073">
            <v>0</v>
          </cell>
          <cell r="S3073" t="str">
            <v xml:space="preserve">32939 </v>
          </cell>
          <cell r="AA3073">
            <v>32939</v>
          </cell>
        </row>
        <row r="3074">
          <cell r="P3074">
            <v>0</v>
          </cell>
          <cell r="S3074" t="str">
            <v xml:space="preserve">32939 </v>
          </cell>
          <cell r="AA3074">
            <v>32939</v>
          </cell>
        </row>
        <row r="3075">
          <cell r="P3075">
            <v>0</v>
          </cell>
          <cell r="S3075" t="str">
            <v xml:space="preserve">32939 </v>
          </cell>
          <cell r="AA3075">
            <v>32939</v>
          </cell>
        </row>
        <row r="3076">
          <cell r="P3076">
            <v>0</v>
          </cell>
          <cell r="S3076" t="str">
            <v xml:space="preserve">32939 </v>
          </cell>
          <cell r="AA3076">
            <v>32939</v>
          </cell>
        </row>
        <row r="3077">
          <cell r="P3077">
            <v>0</v>
          </cell>
          <cell r="S3077" t="str">
            <v xml:space="preserve">32939 </v>
          </cell>
          <cell r="AA3077">
            <v>32939</v>
          </cell>
        </row>
        <row r="3078">
          <cell r="P3078">
            <v>0</v>
          </cell>
          <cell r="S3078" t="str">
            <v xml:space="preserve">32939 </v>
          </cell>
          <cell r="AA3078">
            <v>32939</v>
          </cell>
        </row>
        <row r="3079">
          <cell r="P3079">
            <v>0</v>
          </cell>
          <cell r="S3079" t="str">
            <v xml:space="preserve">32939 </v>
          </cell>
          <cell r="AA3079">
            <v>32939</v>
          </cell>
        </row>
        <row r="3080">
          <cell r="P3080">
            <v>0</v>
          </cell>
          <cell r="S3080" t="str">
            <v xml:space="preserve">32939 </v>
          </cell>
          <cell r="AA3080">
            <v>32939</v>
          </cell>
        </row>
        <row r="3081">
          <cell r="P3081">
            <v>0</v>
          </cell>
          <cell r="S3081" t="str">
            <v xml:space="preserve">32939 </v>
          </cell>
          <cell r="AA3081">
            <v>32939</v>
          </cell>
        </row>
        <row r="3082">
          <cell r="P3082">
            <v>0</v>
          </cell>
          <cell r="S3082" t="str">
            <v xml:space="preserve">32939 </v>
          </cell>
          <cell r="AA3082">
            <v>32939</v>
          </cell>
        </row>
        <row r="3083">
          <cell r="P3083">
            <v>0</v>
          </cell>
          <cell r="S3083" t="str">
            <v xml:space="preserve">32939 </v>
          </cell>
          <cell r="AA3083">
            <v>32939</v>
          </cell>
        </row>
        <row r="3084">
          <cell r="P3084">
            <v>0</v>
          </cell>
          <cell r="S3084" t="str">
            <v xml:space="preserve">32939 </v>
          </cell>
          <cell r="AA3084">
            <v>32939</v>
          </cell>
        </row>
        <row r="3085">
          <cell r="P3085">
            <v>0</v>
          </cell>
          <cell r="S3085" t="str">
            <v xml:space="preserve">32939 </v>
          </cell>
          <cell r="AA3085">
            <v>32939</v>
          </cell>
        </row>
        <row r="3086">
          <cell r="P3086">
            <v>0</v>
          </cell>
          <cell r="S3086" t="str">
            <v xml:space="preserve">32939 </v>
          </cell>
          <cell r="AA3086">
            <v>32939</v>
          </cell>
        </row>
        <row r="3087">
          <cell r="P3087">
            <v>0</v>
          </cell>
          <cell r="S3087" t="str">
            <v xml:space="preserve">32939 </v>
          </cell>
          <cell r="AA3087">
            <v>32939</v>
          </cell>
        </row>
        <row r="3088">
          <cell r="P3088">
            <v>0</v>
          </cell>
          <cell r="S3088" t="str">
            <v xml:space="preserve">32939 </v>
          </cell>
          <cell r="AA3088">
            <v>32939</v>
          </cell>
        </row>
        <row r="3089">
          <cell r="P3089">
            <v>0</v>
          </cell>
          <cell r="S3089" t="str">
            <v xml:space="preserve">32939 </v>
          </cell>
          <cell r="AA3089">
            <v>32939</v>
          </cell>
        </row>
        <row r="3090">
          <cell r="P3090">
            <v>0</v>
          </cell>
          <cell r="S3090" t="str">
            <v xml:space="preserve">32939 </v>
          </cell>
          <cell r="AA3090">
            <v>32939</v>
          </cell>
        </row>
        <row r="3091">
          <cell r="P3091">
            <v>0</v>
          </cell>
          <cell r="S3091" t="str">
            <v xml:space="preserve">32939 </v>
          </cell>
          <cell r="AA3091">
            <v>32939</v>
          </cell>
        </row>
        <row r="3092">
          <cell r="P3092">
            <v>0</v>
          </cell>
          <cell r="S3092" t="str">
            <v xml:space="preserve">32939 </v>
          </cell>
          <cell r="AA3092">
            <v>32939</v>
          </cell>
        </row>
        <row r="3093">
          <cell r="P3093">
            <v>0</v>
          </cell>
          <cell r="S3093" t="str">
            <v xml:space="preserve">32939 </v>
          </cell>
          <cell r="AA3093">
            <v>32939</v>
          </cell>
        </row>
        <row r="3094">
          <cell r="P3094">
            <v>0</v>
          </cell>
          <cell r="S3094" t="str">
            <v xml:space="preserve">32939 </v>
          </cell>
          <cell r="AA3094">
            <v>32939</v>
          </cell>
        </row>
        <row r="3095">
          <cell r="P3095">
            <v>0</v>
          </cell>
          <cell r="S3095" t="str">
            <v xml:space="preserve">32939 </v>
          </cell>
          <cell r="AA3095">
            <v>32939</v>
          </cell>
        </row>
        <row r="3096">
          <cell r="P3096">
            <v>0</v>
          </cell>
          <cell r="S3096" t="str">
            <v xml:space="preserve">32939 </v>
          </cell>
          <cell r="AA3096">
            <v>32939</v>
          </cell>
        </row>
        <row r="3097">
          <cell r="P3097">
            <v>0</v>
          </cell>
          <cell r="S3097" t="str">
            <v xml:space="preserve">32939 </v>
          </cell>
          <cell r="AA3097">
            <v>32939</v>
          </cell>
        </row>
        <row r="3098">
          <cell r="P3098">
            <v>0</v>
          </cell>
          <cell r="S3098" t="str">
            <v xml:space="preserve">32939 </v>
          </cell>
          <cell r="AA3098">
            <v>32939</v>
          </cell>
        </row>
        <row r="3099">
          <cell r="P3099">
            <v>0</v>
          </cell>
          <cell r="S3099" t="str">
            <v xml:space="preserve">32939 </v>
          </cell>
          <cell r="AA3099">
            <v>32939</v>
          </cell>
        </row>
        <row r="3100">
          <cell r="P3100">
            <v>0</v>
          </cell>
          <cell r="S3100" t="str">
            <v xml:space="preserve">32939 </v>
          </cell>
          <cell r="AA3100">
            <v>32939</v>
          </cell>
        </row>
        <row r="3101">
          <cell r="P3101">
            <v>0</v>
          </cell>
          <cell r="S3101" t="str">
            <v xml:space="preserve">32939 </v>
          </cell>
          <cell r="AA3101">
            <v>32939</v>
          </cell>
        </row>
        <row r="3102">
          <cell r="P3102">
            <v>0</v>
          </cell>
          <cell r="S3102" t="str">
            <v xml:space="preserve">32939 </v>
          </cell>
          <cell r="AA3102">
            <v>32939</v>
          </cell>
        </row>
        <row r="3103">
          <cell r="P3103">
            <v>0</v>
          </cell>
          <cell r="S3103" t="str">
            <v xml:space="preserve">32939 </v>
          </cell>
          <cell r="AA3103">
            <v>32939</v>
          </cell>
        </row>
        <row r="3104">
          <cell r="P3104">
            <v>0</v>
          </cell>
          <cell r="S3104" t="str">
            <v xml:space="preserve">32939 </v>
          </cell>
          <cell r="AA3104">
            <v>32939</v>
          </cell>
        </row>
        <row r="3105">
          <cell r="P3105">
            <v>0</v>
          </cell>
          <cell r="S3105" t="str">
            <v xml:space="preserve">32939 </v>
          </cell>
          <cell r="AA3105">
            <v>32939</v>
          </cell>
        </row>
        <row r="3106">
          <cell r="P3106">
            <v>0</v>
          </cell>
          <cell r="S3106" t="str">
            <v xml:space="preserve">32939 </v>
          </cell>
          <cell r="AA3106">
            <v>32939</v>
          </cell>
        </row>
        <row r="3107">
          <cell r="P3107">
            <v>0</v>
          </cell>
          <cell r="S3107" t="str">
            <v xml:space="preserve">32939 </v>
          </cell>
          <cell r="AA3107">
            <v>32939</v>
          </cell>
        </row>
        <row r="3108">
          <cell r="P3108">
            <v>0</v>
          </cell>
          <cell r="S3108" t="str">
            <v xml:space="preserve">32939 </v>
          </cell>
          <cell r="AA3108">
            <v>32939</v>
          </cell>
        </row>
        <row r="3109">
          <cell r="P3109">
            <v>0</v>
          </cell>
          <cell r="S3109" t="str">
            <v xml:space="preserve">32939 </v>
          </cell>
          <cell r="AA3109">
            <v>32939</v>
          </cell>
        </row>
        <row r="3110">
          <cell r="P3110">
            <v>0</v>
          </cell>
          <cell r="S3110" t="str">
            <v xml:space="preserve">32939 </v>
          </cell>
          <cell r="AA3110">
            <v>32939</v>
          </cell>
        </row>
        <row r="3111">
          <cell r="P3111">
            <v>0</v>
          </cell>
          <cell r="S3111" t="str">
            <v xml:space="preserve">32939 </v>
          </cell>
          <cell r="AA3111">
            <v>32939</v>
          </cell>
        </row>
        <row r="3112">
          <cell r="P3112">
            <v>0</v>
          </cell>
          <cell r="S3112" t="str">
            <v xml:space="preserve">32939 </v>
          </cell>
          <cell r="AA3112">
            <v>32939</v>
          </cell>
        </row>
        <row r="3113">
          <cell r="P3113">
            <v>0</v>
          </cell>
          <cell r="S3113" t="str">
            <v xml:space="preserve">32939 </v>
          </cell>
          <cell r="AA3113">
            <v>32939</v>
          </cell>
        </row>
        <row r="3114">
          <cell r="P3114">
            <v>0</v>
          </cell>
          <cell r="S3114" t="str">
            <v xml:space="preserve">32939 </v>
          </cell>
          <cell r="AA3114">
            <v>32939</v>
          </cell>
        </row>
        <row r="3115">
          <cell r="P3115">
            <v>0</v>
          </cell>
          <cell r="S3115" t="str">
            <v xml:space="preserve">32939 </v>
          </cell>
          <cell r="AA3115">
            <v>32939</v>
          </cell>
        </row>
        <row r="3116">
          <cell r="P3116">
            <v>0</v>
          </cell>
          <cell r="S3116" t="str">
            <v xml:space="preserve">32939 </v>
          </cell>
          <cell r="AA3116">
            <v>32939</v>
          </cell>
        </row>
        <row r="3117">
          <cell r="P3117">
            <v>0</v>
          </cell>
          <cell r="S3117" t="str">
            <v xml:space="preserve">32939 </v>
          </cell>
          <cell r="AA3117">
            <v>32939</v>
          </cell>
        </row>
        <row r="3118">
          <cell r="P3118">
            <v>0</v>
          </cell>
          <cell r="S3118" t="str">
            <v xml:space="preserve">32939 </v>
          </cell>
          <cell r="AA3118">
            <v>32939</v>
          </cell>
        </row>
        <row r="3119">
          <cell r="P3119">
            <v>0</v>
          </cell>
          <cell r="S3119" t="str">
            <v xml:space="preserve">32939 </v>
          </cell>
          <cell r="AA3119">
            <v>32939</v>
          </cell>
        </row>
        <row r="3120">
          <cell r="P3120">
            <v>0</v>
          </cell>
          <cell r="S3120" t="str">
            <v xml:space="preserve">32939 </v>
          </cell>
          <cell r="AA3120">
            <v>32939</v>
          </cell>
        </row>
        <row r="3121">
          <cell r="P3121">
            <v>0</v>
          </cell>
          <cell r="S3121" t="str">
            <v xml:space="preserve">32939 </v>
          </cell>
          <cell r="AA3121">
            <v>32939</v>
          </cell>
        </row>
        <row r="3122">
          <cell r="P3122">
            <v>0</v>
          </cell>
          <cell r="S3122" t="str">
            <v xml:space="preserve">32939 </v>
          </cell>
          <cell r="AA3122">
            <v>32939</v>
          </cell>
        </row>
        <row r="3123">
          <cell r="P3123">
            <v>0</v>
          </cell>
          <cell r="S3123" t="str">
            <v xml:space="preserve">32939 </v>
          </cell>
          <cell r="AA3123">
            <v>32939</v>
          </cell>
        </row>
        <row r="3124">
          <cell r="P3124">
            <v>0</v>
          </cell>
          <cell r="S3124" t="str">
            <v xml:space="preserve">32939 </v>
          </cell>
          <cell r="AA3124">
            <v>32939</v>
          </cell>
        </row>
        <row r="3125">
          <cell r="P3125">
            <v>0</v>
          </cell>
          <cell r="S3125" t="str">
            <v xml:space="preserve">32939 </v>
          </cell>
          <cell r="AA3125">
            <v>32939</v>
          </cell>
        </row>
        <row r="3126">
          <cell r="P3126">
            <v>0</v>
          </cell>
          <cell r="S3126" t="str">
            <v xml:space="preserve">32939 </v>
          </cell>
          <cell r="AA3126">
            <v>32939</v>
          </cell>
        </row>
        <row r="3127">
          <cell r="P3127">
            <v>0</v>
          </cell>
          <cell r="S3127" t="str">
            <v xml:space="preserve">32939 </v>
          </cell>
          <cell r="AA3127">
            <v>32939</v>
          </cell>
        </row>
        <row r="3128">
          <cell r="P3128">
            <v>0</v>
          </cell>
          <cell r="S3128" t="str">
            <v xml:space="preserve">32939 </v>
          </cell>
          <cell r="AA3128">
            <v>32939</v>
          </cell>
        </row>
        <row r="3129">
          <cell r="P3129">
            <v>0</v>
          </cell>
          <cell r="S3129" t="str">
            <v xml:space="preserve">32939 </v>
          </cell>
          <cell r="AA3129">
            <v>32939</v>
          </cell>
        </row>
        <row r="3130">
          <cell r="P3130">
            <v>0</v>
          </cell>
          <cell r="S3130" t="str">
            <v xml:space="preserve">32939 </v>
          </cell>
          <cell r="AA3130">
            <v>32939</v>
          </cell>
        </row>
        <row r="3131">
          <cell r="P3131">
            <v>0</v>
          </cell>
          <cell r="S3131" t="str">
            <v xml:space="preserve">32939 </v>
          </cell>
          <cell r="AA3131">
            <v>32939</v>
          </cell>
        </row>
        <row r="3132">
          <cell r="P3132">
            <v>0</v>
          </cell>
          <cell r="S3132" t="str">
            <v xml:space="preserve">32939 </v>
          </cell>
          <cell r="AA3132">
            <v>32939</v>
          </cell>
        </row>
        <row r="3133">
          <cell r="P3133">
            <v>0</v>
          </cell>
          <cell r="S3133" t="str">
            <v xml:space="preserve">32939 </v>
          </cell>
          <cell r="AA3133">
            <v>32939</v>
          </cell>
        </row>
        <row r="3134">
          <cell r="P3134">
            <v>0</v>
          </cell>
          <cell r="S3134" t="str">
            <v xml:space="preserve">32939 </v>
          </cell>
          <cell r="AA3134">
            <v>32939</v>
          </cell>
        </row>
        <row r="3135">
          <cell r="P3135">
            <v>0</v>
          </cell>
          <cell r="S3135" t="str">
            <v xml:space="preserve">32939 </v>
          </cell>
          <cell r="AA3135">
            <v>32939</v>
          </cell>
        </row>
        <row r="3136">
          <cell r="P3136">
            <v>0</v>
          </cell>
          <cell r="S3136" t="str">
            <v xml:space="preserve">32939 </v>
          </cell>
          <cell r="AA3136">
            <v>32939</v>
          </cell>
        </row>
        <row r="3137">
          <cell r="P3137">
            <v>0</v>
          </cell>
          <cell r="S3137" t="str">
            <v xml:space="preserve">32939 </v>
          </cell>
          <cell r="AA3137">
            <v>32939</v>
          </cell>
        </row>
        <row r="3138">
          <cell r="P3138">
            <v>0</v>
          </cell>
          <cell r="S3138" t="str">
            <v xml:space="preserve">32939 </v>
          </cell>
          <cell r="AA3138">
            <v>32939</v>
          </cell>
        </row>
        <row r="3139">
          <cell r="P3139">
            <v>0</v>
          </cell>
          <cell r="S3139" t="str">
            <v xml:space="preserve">32939 </v>
          </cell>
          <cell r="AA3139">
            <v>32939</v>
          </cell>
        </row>
        <row r="3140">
          <cell r="P3140">
            <v>0</v>
          </cell>
          <cell r="S3140" t="str">
            <v xml:space="preserve">32939 </v>
          </cell>
          <cell r="AA3140">
            <v>32939</v>
          </cell>
        </row>
        <row r="3141">
          <cell r="P3141">
            <v>0</v>
          </cell>
          <cell r="S3141" t="str">
            <v xml:space="preserve">32939 </v>
          </cell>
          <cell r="AA3141">
            <v>32939</v>
          </cell>
        </row>
        <row r="3142">
          <cell r="P3142">
            <v>0</v>
          </cell>
          <cell r="S3142" t="str">
            <v xml:space="preserve">32939 </v>
          </cell>
          <cell r="AA3142">
            <v>32939</v>
          </cell>
        </row>
        <row r="3143">
          <cell r="P3143">
            <v>0</v>
          </cell>
          <cell r="S3143" t="str">
            <v xml:space="preserve">32939 </v>
          </cell>
          <cell r="AA3143">
            <v>32939</v>
          </cell>
        </row>
        <row r="3144">
          <cell r="P3144">
            <v>0</v>
          </cell>
          <cell r="S3144" t="str">
            <v xml:space="preserve">32939 </v>
          </cell>
          <cell r="AA3144">
            <v>32939</v>
          </cell>
        </row>
        <row r="3145">
          <cell r="P3145">
            <v>0</v>
          </cell>
          <cell r="S3145" t="str">
            <v xml:space="preserve">32939 </v>
          </cell>
          <cell r="AA3145">
            <v>32939</v>
          </cell>
        </row>
        <row r="3146">
          <cell r="P3146">
            <v>0</v>
          </cell>
          <cell r="S3146" t="str">
            <v xml:space="preserve">32939 </v>
          </cell>
          <cell r="AA3146">
            <v>32939</v>
          </cell>
        </row>
        <row r="3147">
          <cell r="P3147">
            <v>0</v>
          </cell>
          <cell r="S3147" t="str">
            <v xml:space="preserve">32939 </v>
          </cell>
          <cell r="AA3147">
            <v>32939</v>
          </cell>
        </row>
        <row r="3148">
          <cell r="P3148">
            <v>0</v>
          </cell>
          <cell r="S3148" t="str">
            <v xml:space="preserve">32939 </v>
          </cell>
          <cell r="AA3148">
            <v>32939</v>
          </cell>
        </row>
        <row r="3149">
          <cell r="P3149">
            <v>0</v>
          </cell>
          <cell r="S3149" t="str">
            <v xml:space="preserve">32939 </v>
          </cell>
          <cell r="AA3149">
            <v>32939</v>
          </cell>
        </row>
        <row r="3150">
          <cell r="P3150">
            <v>0</v>
          </cell>
          <cell r="S3150" t="str">
            <v xml:space="preserve">32939 </v>
          </cell>
          <cell r="AA3150">
            <v>32939</v>
          </cell>
        </row>
        <row r="3151">
          <cell r="P3151">
            <v>0</v>
          </cell>
          <cell r="S3151" t="str">
            <v xml:space="preserve">32939 </v>
          </cell>
          <cell r="AA3151">
            <v>32939</v>
          </cell>
        </row>
        <row r="3152">
          <cell r="P3152">
            <v>0</v>
          </cell>
          <cell r="S3152" t="str">
            <v xml:space="preserve">32939 </v>
          </cell>
          <cell r="AA3152">
            <v>32939</v>
          </cell>
        </row>
        <row r="3153">
          <cell r="P3153">
            <v>0</v>
          </cell>
          <cell r="S3153" t="str">
            <v xml:space="preserve">32939 </v>
          </cell>
          <cell r="AA3153">
            <v>32939</v>
          </cell>
        </row>
        <row r="3154">
          <cell r="P3154">
            <v>0</v>
          </cell>
          <cell r="S3154" t="str">
            <v xml:space="preserve">32939 </v>
          </cell>
          <cell r="AA3154">
            <v>32939</v>
          </cell>
        </row>
        <row r="3155">
          <cell r="P3155">
            <v>0</v>
          </cell>
          <cell r="S3155" t="str">
            <v xml:space="preserve">32939 </v>
          </cell>
          <cell r="AA3155">
            <v>32939</v>
          </cell>
        </row>
        <row r="3156">
          <cell r="P3156">
            <v>0</v>
          </cell>
          <cell r="S3156" t="str">
            <v xml:space="preserve">32939 </v>
          </cell>
          <cell r="AA3156">
            <v>32939</v>
          </cell>
        </row>
        <row r="3157">
          <cell r="P3157">
            <v>0</v>
          </cell>
          <cell r="S3157" t="str">
            <v xml:space="preserve">32939 </v>
          </cell>
          <cell r="AA3157">
            <v>32939</v>
          </cell>
        </row>
        <row r="3158">
          <cell r="P3158">
            <v>0</v>
          </cell>
          <cell r="S3158" t="str">
            <v xml:space="preserve">32939 </v>
          </cell>
          <cell r="AA3158">
            <v>32939</v>
          </cell>
        </row>
        <row r="3159">
          <cell r="P3159">
            <v>0</v>
          </cell>
          <cell r="S3159" t="str">
            <v xml:space="preserve">32939 </v>
          </cell>
          <cell r="AA3159">
            <v>32939</v>
          </cell>
        </row>
        <row r="3160">
          <cell r="P3160">
            <v>0</v>
          </cell>
          <cell r="S3160" t="str">
            <v xml:space="preserve">32939 </v>
          </cell>
          <cell r="AA3160">
            <v>32939</v>
          </cell>
        </row>
        <row r="3161">
          <cell r="P3161">
            <v>0</v>
          </cell>
          <cell r="S3161" t="str">
            <v xml:space="preserve">32939 </v>
          </cell>
          <cell r="AA3161">
            <v>32939</v>
          </cell>
        </row>
        <row r="3162">
          <cell r="P3162">
            <v>0</v>
          </cell>
          <cell r="S3162" t="str">
            <v xml:space="preserve">32939 </v>
          </cell>
          <cell r="AA3162">
            <v>32939</v>
          </cell>
        </row>
        <row r="3163">
          <cell r="P3163">
            <v>0</v>
          </cell>
          <cell r="S3163" t="str">
            <v xml:space="preserve">32939 </v>
          </cell>
          <cell r="AA3163">
            <v>32939</v>
          </cell>
        </row>
        <row r="3164">
          <cell r="P3164">
            <v>0</v>
          </cell>
          <cell r="S3164" t="str">
            <v xml:space="preserve">32939 </v>
          </cell>
          <cell r="AA3164">
            <v>32939</v>
          </cell>
        </row>
        <row r="3165">
          <cell r="P3165">
            <v>0</v>
          </cell>
          <cell r="S3165" t="str">
            <v xml:space="preserve">32939 </v>
          </cell>
          <cell r="AA3165">
            <v>32939</v>
          </cell>
        </row>
        <row r="3166">
          <cell r="P3166">
            <v>0</v>
          </cell>
          <cell r="S3166" t="str">
            <v xml:space="preserve">32939 </v>
          </cell>
          <cell r="AA3166">
            <v>32939</v>
          </cell>
        </row>
        <row r="3167">
          <cell r="P3167">
            <v>0</v>
          </cell>
          <cell r="S3167" t="str">
            <v xml:space="preserve">32939 </v>
          </cell>
          <cell r="AA3167">
            <v>32939</v>
          </cell>
        </row>
        <row r="3168">
          <cell r="P3168">
            <v>0</v>
          </cell>
          <cell r="S3168" t="str">
            <v xml:space="preserve">32939 </v>
          </cell>
          <cell r="AA3168">
            <v>32939</v>
          </cell>
        </row>
        <row r="3169">
          <cell r="P3169">
            <v>0</v>
          </cell>
          <cell r="S3169" t="str">
            <v xml:space="preserve">32939 </v>
          </cell>
          <cell r="AA3169">
            <v>32939</v>
          </cell>
        </row>
        <row r="3170">
          <cell r="P3170">
            <v>0</v>
          </cell>
          <cell r="S3170" t="str">
            <v xml:space="preserve">32939 </v>
          </cell>
          <cell r="AA3170">
            <v>32939</v>
          </cell>
        </row>
        <row r="3171">
          <cell r="P3171">
            <v>0</v>
          </cell>
          <cell r="S3171" t="str">
            <v xml:space="preserve">32939 </v>
          </cell>
          <cell r="AA3171">
            <v>32939</v>
          </cell>
        </row>
        <row r="3172">
          <cell r="P3172">
            <v>0</v>
          </cell>
          <cell r="S3172" t="str">
            <v xml:space="preserve">32939 </v>
          </cell>
          <cell r="AA3172">
            <v>32939</v>
          </cell>
        </row>
        <row r="3173">
          <cell r="P3173">
            <v>0</v>
          </cell>
          <cell r="S3173" t="str">
            <v xml:space="preserve">32939 </v>
          </cell>
          <cell r="AA3173">
            <v>32939</v>
          </cell>
        </row>
        <row r="3174">
          <cell r="P3174">
            <v>0</v>
          </cell>
          <cell r="S3174" t="str">
            <v xml:space="preserve">32939 </v>
          </cell>
          <cell r="AA3174">
            <v>32939</v>
          </cell>
        </row>
        <row r="3175">
          <cell r="P3175">
            <v>0</v>
          </cell>
          <cell r="S3175" t="str">
            <v xml:space="preserve">32939 </v>
          </cell>
          <cell r="AA3175">
            <v>32939</v>
          </cell>
        </row>
        <row r="3176">
          <cell r="P3176">
            <v>0</v>
          </cell>
          <cell r="S3176" t="str">
            <v xml:space="preserve">32939 </v>
          </cell>
          <cell r="AA3176">
            <v>32939</v>
          </cell>
        </row>
        <row r="3177">
          <cell r="P3177">
            <v>0</v>
          </cell>
          <cell r="S3177" t="str">
            <v xml:space="preserve">32939 </v>
          </cell>
          <cell r="AA3177">
            <v>32939</v>
          </cell>
        </row>
        <row r="3178">
          <cell r="P3178">
            <v>0</v>
          </cell>
          <cell r="S3178" t="str">
            <v xml:space="preserve">32939 </v>
          </cell>
          <cell r="AA3178">
            <v>32939</v>
          </cell>
        </row>
        <row r="3179">
          <cell r="P3179">
            <v>0</v>
          </cell>
          <cell r="S3179" t="str">
            <v xml:space="preserve">32939 </v>
          </cell>
          <cell r="AA3179">
            <v>32939</v>
          </cell>
        </row>
        <row r="3180">
          <cell r="P3180">
            <v>0</v>
          </cell>
          <cell r="S3180" t="str">
            <v xml:space="preserve">32939 </v>
          </cell>
          <cell r="AA3180">
            <v>32939</v>
          </cell>
        </row>
        <row r="3181">
          <cell r="P3181">
            <v>0</v>
          </cell>
          <cell r="S3181" t="str">
            <v xml:space="preserve">32939 </v>
          </cell>
          <cell r="AA3181">
            <v>32939</v>
          </cell>
        </row>
        <row r="3182">
          <cell r="P3182">
            <v>0</v>
          </cell>
          <cell r="S3182" t="str">
            <v xml:space="preserve">32939 </v>
          </cell>
          <cell r="AA3182">
            <v>32939</v>
          </cell>
        </row>
        <row r="3183">
          <cell r="P3183">
            <v>0</v>
          </cell>
          <cell r="S3183" t="str">
            <v xml:space="preserve">32939 </v>
          </cell>
          <cell r="AA3183">
            <v>32939</v>
          </cell>
        </row>
        <row r="3184">
          <cell r="P3184">
            <v>0</v>
          </cell>
          <cell r="S3184" t="str">
            <v xml:space="preserve">32939 </v>
          </cell>
          <cell r="AA3184">
            <v>32939</v>
          </cell>
        </row>
        <row r="3185">
          <cell r="P3185">
            <v>0</v>
          </cell>
          <cell r="S3185" t="str">
            <v xml:space="preserve">32939 </v>
          </cell>
          <cell r="AA3185">
            <v>32939</v>
          </cell>
        </row>
        <row r="3186">
          <cell r="P3186">
            <v>0</v>
          </cell>
          <cell r="S3186" t="str">
            <v xml:space="preserve">32939 </v>
          </cell>
          <cell r="AA3186">
            <v>32939</v>
          </cell>
        </row>
        <row r="3187">
          <cell r="P3187">
            <v>0</v>
          </cell>
          <cell r="S3187" t="str">
            <v xml:space="preserve">32939 </v>
          </cell>
          <cell r="AA3187">
            <v>32939</v>
          </cell>
        </row>
        <row r="3188">
          <cell r="P3188">
            <v>0</v>
          </cell>
          <cell r="S3188" t="str">
            <v xml:space="preserve">32939 </v>
          </cell>
          <cell r="AA3188">
            <v>32939</v>
          </cell>
        </row>
        <row r="3189">
          <cell r="P3189">
            <v>0</v>
          </cell>
          <cell r="S3189" t="str">
            <v xml:space="preserve">32939 </v>
          </cell>
          <cell r="AA3189">
            <v>32939</v>
          </cell>
        </row>
        <row r="3190">
          <cell r="P3190">
            <v>0</v>
          </cell>
          <cell r="S3190" t="str">
            <v xml:space="preserve">32939 </v>
          </cell>
          <cell r="AA3190">
            <v>32939</v>
          </cell>
        </row>
        <row r="3191">
          <cell r="P3191">
            <v>0</v>
          </cell>
          <cell r="S3191" t="str">
            <v xml:space="preserve">32939 </v>
          </cell>
          <cell r="AA3191">
            <v>32939</v>
          </cell>
        </row>
        <row r="3192">
          <cell r="P3192">
            <v>0</v>
          </cell>
          <cell r="S3192" t="str">
            <v xml:space="preserve">32939 </v>
          </cell>
          <cell r="AA3192">
            <v>32939</v>
          </cell>
        </row>
        <row r="3193">
          <cell r="P3193">
            <v>0</v>
          </cell>
          <cell r="S3193" t="str">
            <v xml:space="preserve">32939 </v>
          </cell>
          <cell r="AA3193">
            <v>32939</v>
          </cell>
        </row>
        <row r="3194">
          <cell r="P3194">
            <v>0</v>
          </cell>
          <cell r="S3194" t="str">
            <v xml:space="preserve">32939 </v>
          </cell>
          <cell r="AA3194">
            <v>32939</v>
          </cell>
        </row>
        <row r="3195">
          <cell r="P3195">
            <v>0</v>
          </cell>
          <cell r="S3195" t="str">
            <v xml:space="preserve">32939 </v>
          </cell>
          <cell r="AA3195">
            <v>32939</v>
          </cell>
        </row>
        <row r="3196">
          <cell r="P3196">
            <v>0</v>
          </cell>
          <cell r="S3196" t="str">
            <v xml:space="preserve">32939 </v>
          </cell>
          <cell r="AA3196">
            <v>32939</v>
          </cell>
        </row>
        <row r="3197">
          <cell r="P3197">
            <v>0</v>
          </cell>
          <cell r="S3197" t="str">
            <v xml:space="preserve">32939 </v>
          </cell>
          <cell r="AA3197">
            <v>32939</v>
          </cell>
        </row>
        <row r="3198">
          <cell r="P3198">
            <v>0</v>
          </cell>
          <cell r="S3198" t="str">
            <v xml:space="preserve">32939 </v>
          </cell>
          <cell r="AA3198">
            <v>32939</v>
          </cell>
        </row>
        <row r="3199">
          <cell r="P3199">
            <v>0</v>
          </cell>
          <cell r="S3199" t="str">
            <v xml:space="preserve">32939 </v>
          </cell>
          <cell r="AA3199">
            <v>32939</v>
          </cell>
        </row>
        <row r="3200">
          <cell r="P3200">
            <v>0</v>
          </cell>
          <cell r="S3200" t="str">
            <v xml:space="preserve">32939 </v>
          </cell>
          <cell r="AA3200">
            <v>32939</v>
          </cell>
        </row>
        <row r="3201">
          <cell r="P3201">
            <v>0</v>
          </cell>
          <cell r="S3201" t="str">
            <v xml:space="preserve">32939 </v>
          </cell>
          <cell r="AA3201">
            <v>32939</v>
          </cell>
        </row>
        <row r="3202">
          <cell r="P3202">
            <v>0</v>
          </cell>
          <cell r="S3202" t="str">
            <v xml:space="preserve">32939 </v>
          </cell>
          <cell r="AA3202">
            <v>32939</v>
          </cell>
        </row>
        <row r="3203">
          <cell r="P3203">
            <v>0</v>
          </cell>
          <cell r="S3203" t="str">
            <v xml:space="preserve">32939 </v>
          </cell>
          <cell r="AA3203">
            <v>32939</v>
          </cell>
        </row>
        <row r="3204">
          <cell r="P3204">
            <v>0</v>
          </cell>
          <cell r="S3204" t="str">
            <v xml:space="preserve">32939 </v>
          </cell>
          <cell r="AA3204">
            <v>32939</v>
          </cell>
        </row>
        <row r="3205">
          <cell r="P3205">
            <v>0</v>
          </cell>
          <cell r="S3205" t="str">
            <v xml:space="preserve">32939 </v>
          </cell>
          <cell r="AA3205">
            <v>32939</v>
          </cell>
        </row>
        <row r="3206">
          <cell r="P3206">
            <v>0</v>
          </cell>
          <cell r="S3206" t="str">
            <v xml:space="preserve">32939 </v>
          </cell>
          <cell r="AA3206">
            <v>32939</v>
          </cell>
        </row>
        <row r="3207">
          <cell r="P3207">
            <v>0</v>
          </cell>
          <cell r="S3207" t="str">
            <v xml:space="preserve">32939 </v>
          </cell>
          <cell r="AA3207">
            <v>32939</v>
          </cell>
        </row>
        <row r="3208">
          <cell r="P3208">
            <v>0</v>
          </cell>
          <cell r="S3208" t="str">
            <v xml:space="preserve">32939 </v>
          </cell>
          <cell r="AA3208">
            <v>32939</v>
          </cell>
        </row>
        <row r="3209">
          <cell r="P3209">
            <v>0</v>
          </cell>
          <cell r="S3209" t="str">
            <v xml:space="preserve">32939 </v>
          </cell>
          <cell r="AA3209">
            <v>32939</v>
          </cell>
        </row>
        <row r="3210">
          <cell r="P3210">
            <v>0</v>
          </cell>
          <cell r="S3210" t="str">
            <v xml:space="preserve">32939 </v>
          </cell>
          <cell r="AA3210">
            <v>32939</v>
          </cell>
        </row>
        <row r="3211">
          <cell r="P3211">
            <v>0</v>
          </cell>
          <cell r="S3211" t="str">
            <v xml:space="preserve">32939 </v>
          </cell>
          <cell r="AA3211">
            <v>32939</v>
          </cell>
        </row>
        <row r="3212">
          <cell r="P3212">
            <v>0</v>
          </cell>
          <cell r="S3212" t="str">
            <v xml:space="preserve">32939 </v>
          </cell>
          <cell r="AA3212">
            <v>32939</v>
          </cell>
        </row>
        <row r="3213">
          <cell r="P3213">
            <v>0</v>
          </cell>
          <cell r="S3213" t="str">
            <v xml:space="preserve">32939 </v>
          </cell>
          <cell r="AA3213">
            <v>32939</v>
          </cell>
        </row>
        <row r="3214">
          <cell r="P3214">
            <v>0</v>
          </cell>
          <cell r="S3214" t="str">
            <v xml:space="preserve">32939 </v>
          </cell>
          <cell r="AA3214">
            <v>32939</v>
          </cell>
        </row>
        <row r="3215">
          <cell r="P3215">
            <v>0</v>
          </cell>
          <cell r="S3215" t="str">
            <v xml:space="preserve">32939 </v>
          </cell>
          <cell r="AA3215">
            <v>32939</v>
          </cell>
        </row>
        <row r="3216">
          <cell r="P3216">
            <v>0</v>
          </cell>
          <cell r="S3216" t="str">
            <v xml:space="preserve">32939 </v>
          </cell>
          <cell r="AA3216">
            <v>32939</v>
          </cell>
        </row>
        <row r="3217">
          <cell r="P3217">
            <v>0</v>
          </cell>
          <cell r="S3217" t="str">
            <v xml:space="preserve">32939 </v>
          </cell>
          <cell r="AA3217">
            <v>32939</v>
          </cell>
        </row>
        <row r="3218">
          <cell r="P3218">
            <v>0</v>
          </cell>
          <cell r="S3218" t="str">
            <v xml:space="preserve">32939 </v>
          </cell>
          <cell r="AA3218">
            <v>32939</v>
          </cell>
        </row>
        <row r="3219">
          <cell r="P3219">
            <v>0</v>
          </cell>
          <cell r="S3219" t="str">
            <v xml:space="preserve">32939 </v>
          </cell>
          <cell r="AA3219">
            <v>32939</v>
          </cell>
        </row>
        <row r="3220">
          <cell r="P3220">
            <v>0</v>
          </cell>
          <cell r="S3220" t="str">
            <v xml:space="preserve">32939 </v>
          </cell>
          <cell r="AA3220">
            <v>32939</v>
          </cell>
        </row>
        <row r="3221">
          <cell r="P3221">
            <v>0</v>
          </cell>
          <cell r="S3221" t="str">
            <v xml:space="preserve">32939 </v>
          </cell>
          <cell r="AA3221">
            <v>32939</v>
          </cell>
        </row>
        <row r="3222">
          <cell r="P3222">
            <v>0</v>
          </cell>
          <cell r="S3222" t="str">
            <v xml:space="preserve">32939 </v>
          </cell>
          <cell r="AA3222">
            <v>32939</v>
          </cell>
        </row>
        <row r="3223">
          <cell r="P3223">
            <v>0</v>
          </cell>
          <cell r="S3223" t="str">
            <v xml:space="preserve">32939 </v>
          </cell>
          <cell r="AA3223">
            <v>32939</v>
          </cell>
        </row>
        <row r="3224">
          <cell r="P3224">
            <v>0</v>
          </cell>
          <cell r="S3224" t="str">
            <v xml:space="preserve">32939 </v>
          </cell>
          <cell r="AA3224">
            <v>32939</v>
          </cell>
        </row>
        <row r="3225">
          <cell r="P3225">
            <v>0</v>
          </cell>
          <cell r="S3225" t="str">
            <v xml:space="preserve">32939 </v>
          </cell>
          <cell r="AA3225">
            <v>32939</v>
          </cell>
        </row>
        <row r="3226">
          <cell r="P3226">
            <v>0</v>
          </cell>
          <cell r="S3226" t="str">
            <v xml:space="preserve">32939 </v>
          </cell>
          <cell r="AA3226">
            <v>32939</v>
          </cell>
        </row>
        <row r="3227">
          <cell r="P3227">
            <v>0</v>
          </cell>
          <cell r="S3227" t="str">
            <v xml:space="preserve">32939 </v>
          </cell>
          <cell r="AA3227">
            <v>32939</v>
          </cell>
        </row>
        <row r="3228">
          <cell r="P3228">
            <v>0</v>
          </cell>
          <cell r="S3228" t="str">
            <v xml:space="preserve">32939 </v>
          </cell>
          <cell r="AA3228">
            <v>32939</v>
          </cell>
        </row>
        <row r="3229">
          <cell r="P3229">
            <v>0</v>
          </cell>
          <cell r="S3229" t="str">
            <v xml:space="preserve">32939 </v>
          </cell>
          <cell r="AA3229">
            <v>32939</v>
          </cell>
        </row>
        <row r="3230">
          <cell r="P3230">
            <v>0</v>
          </cell>
          <cell r="S3230" t="str">
            <v xml:space="preserve">32939 </v>
          </cell>
          <cell r="AA3230">
            <v>32939</v>
          </cell>
        </row>
        <row r="3231">
          <cell r="P3231">
            <v>0</v>
          </cell>
          <cell r="S3231" t="str">
            <v xml:space="preserve">32939 </v>
          </cell>
          <cell r="AA3231">
            <v>32939</v>
          </cell>
        </row>
        <row r="3232">
          <cell r="P3232">
            <v>0</v>
          </cell>
          <cell r="S3232" t="str">
            <v xml:space="preserve">32939 </v>
          </cell>
          <cell r="AA3232">
            <v>32939</v>
          </cell>
        </row>
        <row r="3233">
          <cell r="P3233">
            <v>0</v>
          </cell>
          <cell r="S3233" t="str">
            <v xml:space="preserve">32939 </v>
          </cell>
          <cell r="AA3233">
            <v>32939</v>
          </cell>
        </row>
        <row r="3234">
          <cell r="P3234">
            <v>0</v>
          </cell>
          <cell r="S3234" t="str">
            <v xml:space="preserve">32939 </v>
          </cell>
          <cell r="AA3234">
            <v>32939</v>
          </cell>
        </row>
        <row r="3235">
          <cell r="P3235">
            <v>0</v>
          </cell>
          <cell r="S3235" t="str">
            <v xml:space="preserve">32939 </v>
          </cell>
          <cell r="AA3235">
            <v>32939</v>
          </cell>
        </row>
        <row r="3236">
          <cell r="P3236">
            <v>0</v>
          </cell>
          <cell r="S3236" t="str">
            <v xml:space="preserve">32939 </v>
          </cell>
          <cell r="AA3236">
            <v>32939</v>
          </cell>
        </row>
        <row r="3237">
          <cell r="P3237">
            <v>0</v>
          </cell>
          <cell r="S3237" t="str">
            <v xml:space="preserve">32939 </v>
          </cell>
          <cell r="AA3237">
            <v>32939</v>
          </cell>
        </row>
        <row r="3238">
          <cell r="P3238">
            <v>0</v>
          </cell>
          <cell r="S3238" t="str">
            <v xml:space="preserve">32939 </v>
          </cell>
          <cell r="AA3238">
            <v>32939</v>
          </cell>
        </row>
        <row r="3239">
          <cell r="P3239">
            <v>0</v>
          </cell>
          <cell r="S3239" t="str">
            <v xml:space="preserve">32939 </v>
          </cell>
          <cell r="AA3239">
            <v>32939</v>
          </cell>
        </row>
        <row r="3240">
          <cell r="P3240">
            <v>0</v>
          </cell>
          <cell r="S3240" t="str">
            <v xml:space="preserve">32939 </v>
          </cell>
          <cell r="AA3240">
            <v>32939</v>
          </cell>
        </row>
        <row r="3241">
          <cell r="P3241">
            <v>0</v>
          </cell>
          <cell r="S3241" t="str">
            <v xml:space="preserve">32939 </v>
          </cell>
          <cell r="AA3241">
            <v>32939</v>
          </cell>
        </row>
        <row r="3242">
          <cell r="P3242">
            <v>0</v>
          </cell>
          <cell r="S3242" t="str">
            <v xml:space="preserve">32939 </v>
          </cell>
          <cell r="AA3242">
            <v>32939</v>
          </cell>
        </row>
        <row r="3243">
          <cell r="P3243">
            <v>0</v>
          </cell>
          <cell r="S3243" t="str">
            <v xml:space="preserve">32939 </v>
          </cell>
          <cell r="AA3243">
            <v>32939</v>
          </cell>
        </row>
        <row r="3244">
          <cell r="P3244">
            <v>0</v>
          </cell>
          <cell r="S3244" t="str">
            <v xml:space="preserve">32939 </v>
          </cell>
          <cell r="AA3244">
            <v>32939</v>
          </cell>
        </row>
        <row r="3245">
          <cell r="P3245">
            <v>0</v>
          </cell>
          <cell r="S3245" t="str">
            <v xml:space="preserve">32939 </v>
          </cell>
          <cell r="AA3245">
            <v>32939</v>
          </cell>
        </row>
        <row r="3246">
          <cell r="P3246">
            <v>0</v>
          </cell>
          <cell r="S3246" t="str">
            <v xml:space="preserve">32939 </v>
          </cell>
          <cell r="AA3246">
            <v>32939</v>
          </cell>
        </row>
        <row r="3247">
          <cell r="P3247">
            <v>0</v>
          </cell>
          <cell r="S3247" t="str">
            <v xml:space="preserve">32939 </v>
          </cell>
          <cell r="AA3247">
            <v>32939</v>
          </cell>
        </row>
        <row r="3248">
          <cell r="P3248">
            <v>0</v>
          </cell>
          <cell r="S3248" t="str">
            <v xml:space="preserve">32939 </v>
          </cell>
          <cell r="AA3248">
            <v>32939</v>
          </cell>
        </row>
        <row r="3249">
          <cell r="P3249">
            <v>0</v>
          </cell>
          <cell r="S3249" t="str">
            <v xml:space="preserve">32939 </v>
          </cell>
          <cell r="AA3249">
            <v>32939</v>
          </cell>
        </row>
        <row r="3250">
          <cell r="P3250">
            <v>0</v>
          </cell>
          <cell r="S3250" t="str">
            <v xml:space="preserve">32939 </v>
          </cell>
          <cell r="AA3250">
            <v>32939</v>
          </cell>
        </row>
        <row r="3251">
          <cell r="P3251">
            <v>0</v>
          </cell>
          <cell r="S3251" t="str">
            <v xml:space="preserve">32939 </v>
          </cell>
          <cell r="AA3251">
            <v>32939</v>
          </cell>
        </row>
        <row r="3252">
          <cell r="P3252">
            <v>0</v>
          </cell>
          <cell r="S3252" t="str">
            <v xml:space="preserve">32939 </v>
          </cell>
          <cell r="AA3252">
            <v>32939</v>
          </cell>
        </row>
        <row r="3253">
          <cell r="P3253">
            <v>0</v>
          </cell>
          <cell r="S3253" t="str">
            <v xml:space="preserve">32939 </v>
          </cell>
          <cell r="AA3253">
            <v>32939</v>
          </cell>
        </row>
        <row r="3254">
          <cell r="P3254">
            <v>0</v>
          </cell>
          <cell r="S3254" t="str">
            <v xml:space="preserve">32939 </v>
          </cell>
          <cell r="AA3254">
            <v>32939</v>
          </cell>
        </row>
        <row r="3255">
          <cell r="P3255">
            <v>0</v>
          </cell>
          <cell r="S3255" t="str">
            <v xml:space="preserve">32939 </v>
          </cell>
          <cell r="AA3255">
            <v>32939</v>
          </cell>
        </row>
        <row r="3256">
          <cell r="P3256">
            <v>0</v>
          </cell>
          <cell r="S3256" t="str">
            <v xml:space="preserve">32939 </v>
          </cell>
          <cell r="AA3256">
            <v>32939</v>
          </cell>
        </row>
        <row r="3257">
          <cell r="P3257">
            <v>0</v>
          </cell>
          <cell r="S3257" t="str">
            <v xml:space="preserve">32939 </v>
          </cell>
          <cell r="AA3257">
            <v>32939</v>
          </cell>
        </row>
        <row r="3258">
          <cell r="P3258">
            <v>0</v>
          </cell>
          <cell r="S3258" t="str">
            <v xml:space="preserve">32939 </v>
          </cell>
          <cell r="AA3258">
            <v>32939</v>
          </cell>
        </row>
        <row r="3259">
          <cell r="P3259">
            <v>0</v>
          </cell>
          <cell r="S3259" t="str">
            <v xml:space="preserve">32939 </v>
          </cell>
          <cell r="AA3259">
            <v>32939</v>
          </cell>
        </row>
        <row r="3260">
          <cell r="P3260">
            <v>0</v>
          </cell>
          <cell r="S3260" t="str">
            <v xml:space="preserve">32939 </v>
          </cell>
          <cell r="AA3260">
            <v>32939</v>
          </cell>
        </row>
        <row r="3261">
          <cell r="P3261">
            <v>0</v>
          </cell>
          <cell r="S3261" t="str">
            <v xml:space="preserve">32939 </v>
          </cell>
          <cell r="AA3261">
            <v>32939</v>
          </cell>
        </row>
        <row r="3262">
          <cell r="P3262">
            <v>0</v>
          </cell>
          <cell r="S3262" t="str">
            <v xml:space="preserve">32939 </v>
          </cell>
          <cell r="AA3262">
            <v>32939</v>
          </cell>
        </row>
        <row r="3263">
          <cell r="P3263">
            <v>0</v>
          </cell>
          <cell r="S3263" t="str">
            <v xml:space="preserve">32939 </v>
          </cell>
          <cell r="AA3263">
            <v>32939</v>
          </cell>
        </row>
        <row r="3264">
          <cell r="P3264">
            <v>0</v>
          </cell>
          <cell r="S3264" t="str">
            <v xml:space="preserve">32939 </v>
          </cell>
          <cell r="AA3264">
            <v>32939</v>
          </cell>
        </row>
        <row r="3265">
          <cell r="P3265">
            <v>0</v>
          </cell>
          <cell r="S3265" t="str">
            <v xml:space="preserve">32939 </v>
          </cell>
          <cell r="AA3265">
            <v>32939</v>
          </cell>
        </row>
        <row r="3266">
          <cell r="P3266">
            <v>0</v>
          </cell>
          <cell r="S3266" t="str">
            <v xml:space="preserve">32939 </v>
          </cell>
          <cell r="AA3266">
            <v>32939</v>
          </cell>
        </row>
        <row r="3267">
          <cell r="P3267">
            <v>0</v>
          </cell>
          <cell r="S3267" t="str">
            <v xml:space="preserve">32939 </v>
          </cell>
          <cell r="AA3267">
            <v>32939</v>
          </cell>
        </row>
        <row r="3268">
          <cell r="P3268">
            <v>0</v>
          </cell>
          <cell r="S3268" t="str">
            <v xml:space="preserve">32939 </v>
          </cell>
          <cell r="AA3268">
            <v>32939</v>
          </cell>
        </row>
        <row r="3269">
          <cell r="P3269">
            <v>0</v>
          </cell>
          <cell r="S3269" t="str">
            <v xml:space="preserve">32939 </v>
          </cell>
          <cell r="AA3269">
            <v>32939</v>
          </cell>
        </row>
        <row r="3270">
          <cell r="P3270">
            <v>0</v>
          </cell>
          <cell r="S3270" t="str">
            <v xml:space="preserve">32939 </v>
          </cell>
          <cell r="AA3270">
            <v>32939</v>
          </cell>
        </row>
        <row r="3271">
          <cell r="P3271">
            <v>0</v>
          </cell>
          <cell r="S3271" t="str">
            <v xml:space="preserve">32939 </v>
          </cell>
          <cell r="AA3271">
            <v>32939</v>
          </cell>
        </row>
        <row r="3272">
          <cell r="P3272">
            <v>0</v>
          </cell>
          <cell r="S3272" t="str">
            <v xml:space="preserve">32939 </v>
          </cell>
          <cell r="AA3272">
            <v>32939</v>
          </cell>
        </row>
        <row r="3273">
          <cell r="P3273">
            <v>0</v>
          </cell>
          <cell r="S3273" t="str">
            <v xml:space="preserve">32939 </v>
          </cell>
          <cell r="AA3273">
            <v>32939</v>
          </cell>
        </row>
        <row r="3274">
          <cell r="P3274">
            <v>0</v>
          </cell>
          <cell r="S3274" t="str">
            <v xml:space="preserve">32939 </v>
          </cell>
          <cell r="AA3274">
            <v>32939</v>
          </cell>
        </row>
        <row r="3275">
          <cell r="P3275">
            <v>0</v>
          </cell>
          <cell r="S3275" t="str">
            <v xml:space="preserve">32939 </v>
          </cell>
          <cell r="AA3275">
            <v>32939</v>
          </cell>
        </row>
        <row r="3276">
          <cell r="P3276">
            <v>0</v>
          </cell>
          <cell r="S3276" t="str">
            <v xml:space="preserve">32939 </v>
          </cell>
          <cell r="AA3276">
            <v>32939</v>
          </cell>
        </row>
        <row r="3277">
          <cell r="P3277">
            <v>0</v>
          </cell>
          <cell r="S3277" t="str">
            <v xml:space="preserve">32939 </v>
          </cell>
          <cell r="AA3277">
            <v>32939</v>
          </cell>
        </row>
        <row r="3278">
          <cell r="P3278">
            <v>0</v>
          </cell>
          <cell r="S3278" t="str">
            <v xml:space="preserve">32939 </v>
          </cell>
          <cell r="AA3278">
            <v>32939</v>
          </cell>
        </row>
        <row r="3279">
          <cell r="P3279">
            <v>0</v>
          </cell>
          <cell r="S3279" t="str">
            <v xml:space="preserve">32939 </v>
          </cell>
          <cell r="AA3279">
            <v>32939</v>
          </cell>
        </row>
        <row r="3280">
          <cell r="P3280">
            <v>0</v>
          </cell>
          <cell r="S3280" t="str">
            <v xml:space="preserve">32939 </v>
          </cell>
          <cell r="AA3280">
            <v>32939</v>
          </cell>
        </row>
        <row r="3281">
          <cell r="P3281">
            <v>0</v>
          </cell>
          <cell r="S3281" t="str">
            <v xml:space="preserve">32939 </v>
          </cell>
          <cell r="AA3281">
            <v>32939</v>
          </cell>
        </row>
        <row r="3282">
          <cell r="P3282">
            <v>0</v>
          </cell>
          <cell r="S3282" t="str">
            <v xml:space="preserve">32939 </v>
          </cell>
          <cell r="AA3282">
            <v>32939</v>
          </cell>
        </row>
        <row r="3283">
          <cell r="P3283">
            <v>0</v>
          </cell>
          <cell r="S3283" t="str">
            <v xml:space="preserve">32939 </v>
          </cell>
          <cell r="AA3283">
            <v>32939</v>
          </cell>
        </row>
        <row r="3284">
          <cell r="P3284">
            <v>0</v>
          </cell>
          <cell r="S3284" t="str">
            <v xml:space="preserve">32939 </v>
          </cell>
          <cell r="AA3284">
            <v>32939</v>
          </cell>
        </row>
        <row r="3285">
          <cell r="P3285">
            <v>0</v>
          </cell>
          <cell r="S3285" t="str">
            <v xml:space="preserve">32939 </v>
          </cell>
          <cell r="AA3285">
            <v>32939</v>
          </cell>
        </row>
        <row r="3286">
          <cell r="P3286">
            <v>0</v>
          </cell>
          <cell r="S3286" t="str">
            <v xml:space="preserve">32939 </v>
          </cell>
          <cell r="AA3286">
            <v>32939</v>
          </cell>
        </row>
        <row r="3287">
          <cell r="P3287">
            <v>0</v>
          </cell>
          <cell r="S3287" t="str">
            <v xml:space="preserve">32939 </v>
          </cell>
          <cell r="AA3287">
            <v>32939</v>
          </cell>
        </row>
        <row r="3288">
          <cell r="P3288">
            <v>0</v>
          </cell>
          <cell r="S3288" t="str">
            <v xml:space="preserve">32939 </v>
          </cell>
          <cell r="AA3288">
            <v>32939</v>
          </cell>
        </row>
        <row r="3289">
          <cell r="P3289">
            <v>0</v>
          </cell>
          <cell r="S3289" t="str">
            <v xml:space="preserve">32939 </v>
          </cell>
          <cell r="AA3289">
            <v>32939</v>
          </cell>
        </row>
        <row r="3290">
          <cell r="P3290">
            <v>0</v>
          </cell>
          <cell r="S3290" t="str">
            <v xml:space="preserve">32939 </v>
          </cell>
          <cell r="AA3290">
            <v>32939</v>
          </cell>
        </row>
        <row r="3291">
          <cell r="P3291">
            <v>0</v>
          </cell>
          <cell r="S3291" t="str">
            <v xml:space="preserve">32939 </v>
          </cell>
          <cell r="AA3291">
            <v>32939</v>
          </cell>
        </row>
        <row r="3292">
          <cell r="P3292">
            <v>0</v>
          </cell>
          <cell r="S3292" t="str">
            <v xml:space="preserve">32939 </v>
          </cell>
          <cell r="AA3292">
            <v>32939</v>
          </cell>
        </row>
        <row r="3293">
          <cell r="P3293">
            <v>0</v>
          </cell>
          <cell r="S3293" t="str">
            <v xml:space="preserve">32939 </v>
          </cell>
          <cell r="AA3293">
            <v>32939</v>
          </cell>
        </row>
        <row r="3294">
          <cell r="P3294">
            <v>0</v>
          </cell>
          <cell r="S3294" t="str">
            <v xml:space="preserve">32939 </v>
          </cell>
          <cell r="AA3294">
            <v>32939</v>
          </cell>
        </row>
        <row r="3295">
          <cell r="P3295">
            <v>0</v>
          </cell>
          <cell r="S3295" t="str">
            <v xml:space="preserve">32939 </v>
          </cell>
          <cell r="AA3295">
            <v>32939</v>
          </cell>
        </row>
        <row r="3296">
          <cell r="P3296">
            <v>0</v>
          </cell>
          <cell r="S3296" t="str">
            <v xml:space="preserve">32939 </v>
          </cell>
          <cell r="AA3296">
            <v>32939</v>
          </cell>
        </row>
        <row r="3297">
          <cell r="P3297">
            <v>0</v>
          </cell>
          <cell r="S3297" t="str">
            <v xml:space="preserve">32939 </v>
          </cell>
          <cell r="AA3297">
            <v>32939</v>
          </cell>
        </row>
        <row r="3298">
          <cell r="P3298">
            <v>0</v>
          </cell>
          <cell r="S3298" t="str">
            <v xml:space="preserve">32939 </v>
          </cell>
          <cell r="AA3298">
            <v>32939</v>
          </cell>
        </row>
        <row r="3299">
          <cell r="P3299">
            <v>0</v>
          </cell>
          <cell r="S3299" t="str">
            <v xml:space="preserve">32939 </v>
          </cell>
          <cell r="AA3299">
            <v>32939</v>
          </cell>
        </row>
        <row r="3300">
          <cell r="P3300">
            <v>0</v>
          </cell>
          <cell r="S3300" t="str">
            <v xml:space="preserve">32939 </v>
          </cell>
          <cell r="AA3300">
            <v>32939</v>
          </cell>
        </row>
        <row r="3301">
          <cell r="P3301">
            <v>0</v>
          </cell>
          <cell r="S3301" t="str">
            <v xml:space="preserve">32939 </v>
          </cell>
          <cell r="AA3301">
            <v>32939</v>
          </cell>
        </row>
        <row r="3302">
          <cell r="P3302">
            <v>0</v>
          </cell>
          <cell r="S3302" t="str">
            <v xml:space="preserve">32939 </v>
          </cell>
          <cell r="AA3302">
            <v>32939</v>
          </cell>
        </row>
        <row r="3303">
          <cell r="P3303">
            <v>0</v>
          </cell>
          <cell r="S3303" t="str">
            <v xml:space="preserve">32939 </v>
          </cell>
          <cell r="AA3303">
            <v>32939</v>
          </cell>
        </row>
        <row r="3304">
          <cell r="P3304">
            <v>0</v>
          </cell>
          <cell r="S3304" t="str">
            <v xml:space="preserve">32939 </v>
          </cell>
          <cell r="AA3304">
            <v>32939</v>
          </cell>
        </row>
        <row r="3305">
          <cell r="P3305">
            <v>0</v>
          </cell>
          <cell r="S3305" t="str">
            <v xml:space="preserve">32939 </v>
          </cell>
          <cell r="AA3305">
            <v>32939</v>
          </cell>
        </row>
        <row r="3306">
          <cell r="P3306">
            <v>0</v>
          </cell>
          <cell r="S3306" t="str">
            <v xml:space="preserve">32939 </v>
          </cell>
          <cell r="AA3306">
            <v>32939</v>
          </cell>
        </row>
        <row r="3307">
          <cell r="P3307">
            <v>0</v>
          </cell>
          <cell r="S3307" t="str">
            <v xml:space="preserve">32939 </v>
          </cell>
          <cell r="AA3307">
            <v>32939</v>
          </cell>
        </row>
        <row r="3308">
          <cell r="P3308">
            <v>0</v>
          </cell>
          <cell r="S3308" t="str">
            <v xml:space="preserve">32939 </v>
          </cell>
          <cell r="AA3308">
            <v>32939</v>
          </cell>
        </row>
        <row r="3309">
          <cell r="P3309">
            <v>0</v>
          </cell>
          <cell r="S3309" t="str">
            <v xml:space="preserve">32939 </v>
          </cell>
          <cell r="AA3309">
            <v>32939</v>
          </cell>
        </row>
        <row r="3310">
          <cell r="P3310">
            <v>0</v>
          </cell>
          <cell r="S3310" t="str">
            <v xml:space="preserve">32939 </v>
          </cell>
          <cell r="AA3310">
            <v>32939</v>
          </cell>
        </row>
        <row r="3311">
          <cell r="P3311">
            <v>0</v>
          </cell>
          <cell r="S3311" t="str">
            <v xml:space="preserve">32939 </v>
          </cell>
          <cell r="AA3311">
            <v>32939</v>
          </cell>
        </row>
        <row r="3312">
          <cell r="P3312">
            <v>0</v>
          </cell>
          <cell r="S3312" t="str">
            <v xml:space="preserve">32939 </v>
          </cell>
          <cell r="AA3312">
            <v>32939</v>
          </cell>
        </row>
        <row r="3313">
          <cell r="P3313">
            <v>0</v>
          </cell>
          <cell r="S3313" t="str">
            <v xml:space="preserve">32939 </v>
          </cell>
          <cell r="AA3313">
            <v>32939</v>
          </cell>
        </row>
        <row r="3314">
          <cell r="P3314">
            <v>0</v>
          </cell>
          <cell r="S3314" t="str">
            <v xml:space="preserve">32939 </v>
          </cell>
          <cell r="AA3314">
            <v>32939</v>
          </cell>
        </row>
        <row r="3315">
          <cell r="P3315">
            <v>0</v>
          </cell>
          <cell r="S3315" t="str">
            <v xml:space="preserve">32939 </v>
          </cell>
          <cell r="AA3315">
            <v>32939</v>
          </cell>
        </row>
        <row r="3316">
          <cell r="P3316">
            <v>0</v>
          </cell>
          <cell r="S3316" t="str">
            <v xml:space="preserve">32939 </v>
          </cell>
          <cell r="AA3316">
            <v>32939</v>
          </cell>
        </row>
        <row r="3317">
          <cell r="P3317">
            <v>0</v>
          </cell>
          <cell r="S3317" t="str">
            <v xml:space="preserve">32939 </v>
          </cell>
          <cell r="AA3317">
            <v>32939</v>
          </cell>
        </row>
        <row r="3318">
          <cell r="P3318">
            <v>0</v>
          </cell>
          <cell r="S3318" t="str">
            <v xml:space="preserve">32939 </v>
          </cell>
          <cell r="AA3318">
            <v>32939</v>
          </cell>
        </row>
        <row r="3319">
          <cell r="P3319">
            <v>0</v>
          </cell>
          <cell r="S3319" t="str">
            <v xml:space="preserve">32939 </v>
          </cell>
          <cell r="AA3319">
            <v>32939</v>
          </cell>
        </row>
        <row r="3320">
          <cell r="P3320">
            <v>0</v>
          </cell>
          <cell r="S3320" t="str">
            <v xml:space="preserve">32939 </v>
          </cell>
          <cell r="AA3320">
            <v>32939</v>
          </cell>
        </row>
        <row r="3321">
          <cell r="P3321">
            <v>0</v>
          </cell>
          <cell r="S3321" t="str">
            <v xml:space="preserve">32939 </v>
          </cell>
          <cell r="AA3321">
            <v>32939</v>
          </cell>
        </row>
        <row r="3322">
          <cell r="P3322">
            <v>0</v>
          </cell>
          <cell r="S3322" t="str">
            <v xml:space="preserve">32939 </v>
          </cell>
          <cell r="AA3322">
            <v>32939</v>
          </cell>
        </row>
        <row r="3323">
          <cell r="P3323">
            <v>0</v>
          </cell>
          <cell r="S3323" t="str">
            <v xml:space="preserve">32939 </v>
          </cell>
          <cell r="AA3323">
            <v>32939</v>
          </cell>
        </row>
        <row r="3324">
          <cell r="P3324">
            <v>0</v>
          </cell>
          <cell r="S3324" t="str">
            <v xml:space="preserve">32939 </v>
          </cell>
          <cell r="AA3324">
            <v>32939</v>
          </cell>
        </row>
        <row r="3325">
          <cell r="P3325">
            <v>0</v>
          </cell>
          <cell r="S3325" t="str">
            <v xml:space="preserve">32939 </v>
          </cell>
          <cell r="AA3325">
            <v>32939</v>
          </cell>
        </row>
        <row r="3326">
          <cell r="P3326">
            <v>0</v>
          </cell>
          <cell r="S3326" t="str">
            <v xml:space="preserve">32939 </v>
          </cell>
          <cell r="AA3326">
            <v>32939</v>
          </cell>
        </row>
        <row r="3327">
          <cell r="P3327">
            <v>0</v>
          </cell>
          <cell r="S3327" t="str">
            <v xml:space="preserve">32939 </v>
          </cell>
          <cell r="AA3327">
            <v>32939</v>
          </cell>
        </row>
        <row r="3328">
          <cell r="P3328">
            <v>0</v>
          </cell>
          <cell r="S3328" t="str">
            <v xml:space="preserve">32939 </v>
          </cell>
          <cell r="AA3328">
            <v>32939</v>
          </cell>
        </row>
        <row r="3329">
          <cell r="P3329">
            <v>0</v>
          </cell>
          <cell r="S3329" t="str">
            <v xml:space="preserve">32939 </v>
          </cell>
          <cell r="AA3329">
            <v>32939</v>
          </cell>
        </row>
        <row r="3330">
          <cell r="P3330">
            <v>0</v>
          </cell>
          <cell r="S3330" t="str">
            <v xml:space="preserve">32939 </v>
          </cell>
          <cell r="AA3330">
            <v>32939</v>
          </cell>
        </row>
        <row r="3331">
          <cell r="P3331">
            <v>0</v>
          </cell>
          <cell r="S3331" t="str">
            <v xml:space="preserve">32939 </v>
          </cell>
          <cell r="AA3331">
            <v>32939</v>
          </cell>
        </row>
        <row r="3332">
          <cell r="P3332">
            <v>0</v>
          </cell>
          <cell r="S3332" t="str">
            <v xml:space="preserve">32939 </v>
          </cell>
          <cell r="AA3332">
            <v>32939</v>
          </cell>
        </row>
        <row r="3333">
          <cell r="P3333">
            <v>0</v>
          </cell>
          <cell r="S3333" t="str">
            <v xml:space="preserve">32939 </v>
          </cell>
          <cell r="AA3333">
            <v>32939</v>
          </cell>
        </row>
        <row r="3334">
          <cell r="P3334">
            <v>0</v>
          </cell>
          <cell r="S3334" t="str">
            <v xml:space="preserve">32939 </v>
          </cell>
          <cell r="AA3334">
            <v>32939</v>
          </cell>
        </row>
        <row r="3335">
          <cell r="P3335">
            <v>0</v>
          </cell>
          <cell r="S3335" t="str">
            <v xml:space="preserve">32939 </v>
          </cell>
          <cell r="AA3335">
            <v>32939</v>
          </cell>
        </row>
        <row r="3336">
          <cell r="P3336">
            <v>0</v>
          </cell>
          <cell r="S3336" t="str">
            <v xml:space="preserve">32939 </v>
          </cell>
          <cell r="AA3336">
            <v>32939</v>
          </cell>
        </row>
        <row r="3337">
          <cell r="P3337">
            <v>0</v>
          </cell>
          <cell r="S3337" t="str">
            <v xml:space="preserve">32939 </v>
          </cell>
          <cell r="AA3337">
            <v>32939</v>
          </cell>
        </row>
        <row r="3338">
          <cell r="P3338">
            <v>0</v>
          </cell>
          <cell r="S3338" t="str">
            <v xml:space="preserve">32939 </v>
          </cell>
          <cell r="AA3338">
            <v>32939</v>
          </cell>
        </row>
        <row r="3339">
          <cell r="P3339">
            <v>0</v>
          </cell>
          <cell r="S3339" t="str">
            <v xml:space="preserve">32939 </v>
          </cell>
          <cell r="AA3339">
            <v>32939</v>
          </cell>
        </row>
        <row r="3340">
          <cell r="P3340">
            <v>0</v>
          </cell>
          <cell r="S3340" t="str">
            <v xml:space="preserve">32939 </v>
          </cell>
          <cell r="AA3340">
            <v>32939</v>
          </cell>
        </row>
        <row r="3341">
          <cell r="P3341">
            <v>0</v>
          </cell>
          <cell r="S3341" t="str">
            <v xml:space="preserve">32939 </v>
          </cell>
          <cell r="AA3341">
            <v>32939</v>
          </cell>
        </row>
        <row r="3342">
          <cell r="P3342">
            <v>0</v>
          </cell>
          <cell r="S3342" t="str">
            <v xml:space="preserve">32939 </v>
          </cell>
          <cell r="AA3342">
            <v>32939</v>
          </cell>
        </row>
        <row r="3343">
          <cell r="P3343">
            <v>0</v>
          </cell>
          <cell r="S3343" t="str">
            <v xml:space="preserve">32939 </v>
          </cell>
          <cell r="AA3343">
            <v>32939</v>
          </cell>
        </row>
        <row r="3344">
          <cell r="P3344">
            <v>0</v>
          </cell>
          <cell r="S3344" t="str">
            <v xml:space="preserve">32939 </v>
          </cell>
          <cell r="AA3344">
            <v>32939</v>
          </cell>
        </row>
        <row r="3345">
          <cell r="P3345">
            <v>0</v>
          </cell>
          <cell r="S3345" t="str">
            <v xml:space="preserve">32939 </v>
          </cell>
          <cell r="AA3345">
            <v>32939</v>
          </cell>
        </row>
        <row r="3346">
          <cell r="P3346">
            <v>0</v>
          </cell>
          <cell r="S3346" t="str">
            <v xml:space="preserve">32939 </v>
          </cell>
          <cell r="AA3346">
            <v>32939</v>
          </cell>
        </row>
        <row r="3347">
          <cell r="P3347">
            <v>0</v>
          </cell>
          <cell r="S3347" t="str">
            <v xml:space="preserve">32939 </v>
          </cell>
          <cell r="AA3347">
            <v>32939</v>
          </cell>
        </row>
        <row r="3348">
          <cell r="P3348">
            <v>0</v>
          </cell>
          <cell r="S3348" t="str">
            <v xml:space="preserve">32939 </v>
          </cell>
          <cell r="AA3348">
            <v>32939</v>
          </cell>
        </row>
        <row r="3349">
          <cell r="P3349">
            <v>0</v>
          </cell>
          <cell r="S3349" t="str">
            <v xml:space="preserve">32939 </v>
          </cell>
          <cell r="AA3349">
            <v>32939</v>
          </cell>
        </row>
        <row r="3350">
          <cell r="P3350">
            <v>0</v>
          </cell>
          <cell r="S3350" t="str">
            <v xml:space="preserve">32939 </v>
          </cell>
          <cell r="AA3350">
            <v>32939</v>
          </cell>
        </row>
        <row r="3351">
          <cell r="P3351">
            <v>0</v>
          </cell>
          <cell r="S3351" t="str">
            <v xml:space="preserve">32939 </v>
          </cell>
          <cell r="AA3351">
            <v>32939</v>
          </cell>
        </row>
        <row r="3352">
          <cell r="P3352">
            <v>0</v>
          </cell>
          <cell r="S3352" t="str">
            <v xml:space="preserve">32939 </v>
          </cell>
          <cell r="AA3352">
            <v>32939</v>
          </cell>
        </row>
        <row r="3353">
          <cell r="P3353">
            <v>0</v>
          </cell>
          <cell r="S3353" t="str">
            <v xml:space="preserve">32939 </v>
          </cell>
          <cell r="AA3353">
            <v>32939</v>
          </cell>
        </row>
        <row r="3354">
          <cell r="P3354">
            <v>0</v>
          </cell>
          <cell r="S3354" t="str">
            <v xml:space="preserve">32939 </v>
          </cell>
          <cell r="AA3354">
            <v>32939</v>
          </cell>
        </row>
        <row r="3355">
          <cell r="P3355">
            <v>0</v>
          </cell>
          <cell r="S3355" t="str">
            <v xml:space="preserve">32939 </v>
          </cell>
          <cell r="AA3355">
            <v>32939</v>
          </cell>
        </row>
        <row r="3356">
          <cell r="P3356">
            <v>0</v>
          </cell>
          <cell r="S3356" t="str">
            <v xml:space="preserve">32939 </v>
          </cell>
          <cell r="AA3356">
            <v>32939</v>
          </cell>
        </row>
        <row r="3357">
          <cell r="P3357">
            <v>0</v>
          </cell>
          <cell r="S3357" t="str">
            <v xml:space="preserve">32939 </v>
          </cell>
          <cell r="AA3357">
            <v>32939</v>
          </cell>
        </row>
        <row r="3358">
          <cell r="P3358">
            <v>0</v>
          </cell>
          <cell r="S3358" t="str">
            <v xml:space="preserve">32939 </v>
          </cell>
          <cell r="AA3358">
            <v>32939</v>
          </cell>
        </row>
        <row r="3359">
          <cell r="P3359">
            <v>0</v>
          </cell>
          <cell r="S3359" t="str">
            <v xml:space="preserve">32939 </v>
          </cell>
          <cell r="AA3359">
            <v>32939</v>
          </cell>
        </row>
        <row r="3360">
          <cell r="P3360">
            <v>0</v>
          </cell>
          <cell r="S3360" t="str">
            <v xml:space="preserve">32939 </v>
          </cell>
          <cell r="AA3360">
            <v>32939</v>
          </cell>
        </row>
        <row r="3361">
          <cell r="P3361">
            <v>0</v>
          </cell>
          <cell r="S3361" t="str">
            <v xml:space="preserve">32939 </v>
          </cell>
          <cell r="AA3361">
            <v>32939</v>
          </cell>
        </row>
        <row r="3362">
          <cell r="P3362">
            <v>0</v>
          </cell>
          <cell r="S3362" t="str">
            <v xml:space="preserve">32939 </v>
          </cell>
          <cell r="AA3362">
            <v>32939</v>
          </cell>
        </row>
        <row r="3363">
          <cell r="P3363">
            <v>0</v>
          </cell>
          <cell r="S3363" t="str">
            <v xml:space="preserve">32939 </v>
          </cell>
          <cell r="AA3363">
            <v>32939</v>
          </cell>
        </row>
        <row r="3364">
          <cell r="P3364">
            <v>0</v>
          </cell>
          <cell r="S3364" t="str">
            <v xml:space="preserve">32939 </v>
          </cell>
          <cell r="AA3364">
            <v>32939</v>
          </cell>
        </row>
        <row r="3365">
          <cell r="P3365">
            <v>0</v>
          </cell>
          <cell r="S3365" t="str">
            <v xml:space="preserve">32939 </v>
          </cell>
          <cell r="AA3365">
            <v>32939</v>
          </cell>
        </row>
        <row r="3366">
          <cell r="P3366">
            <v>0</v>
          </cell>
          <cell r="S3366" t="str">
            <v xml:space="preserve">32939 </v>
          </cell>
          <cell r="AA3366">
            <v>32939</v>
          </cell>
        </row>
        <row r="3367">
          <cell r="P3367">
            <v>0</v>
          </cell>
          <cell r="S3367" t="str">
            <v xml:space="preserve">32939 </v>
          </cell>
          <cell r="AA3367">
            <v>32939</v>
          </cell>
        </row>
        <row r="3368">
          <cell r="P3368">
            <v>0</v>
          </cell>
          <cell r="S3368" t="str">
            <v xml:space="preserve">32939 </v>
          </cell>
          <cell r="AA3368">
            <v>32939</v>
          </cell>
        </row>
        <row r="3369">
          <cell r="P3369">
            <v>0</v>
          </cell>
          <cell r="S3369" t="str">
            <v xml:space="preserve">32939 </v>
          </cell>
          <cell r="AA3369">
            <v>32939</v>
          </cell>
        </row>
        <row r="3370">
          <cell r="P3370">
            <v>0</v>
          </cell>
          <cell r="S3370" t="str">
            <v xml:space="preserve">32939 </v>
          </cell>
          <cell r="AA3370">
            <v>32939</v>
          </cell>
        </row>
        <row r="3371">
          <cell r="P3371">
            <v>0</v>
          </cell>
          <cell r="S3371" t="str">
            <v xml:space="preserve">32939 </v>
          </cell>
          <cell r="AA3371">
            <v>32939</v>
          </cell>
        </row>
        <row r="3372">
          <cell r="P3372">
            <v>0</v>
          </cell>
          <cell r="S3372" t="str">
            <v xml:space="preserve">32939 </v>
          </cell>
          <cell r="AA3372">
            <v>32939</v>
          </cell>
        </row>
        <row r="3373">
          <cell r="P3373">
            <v>0</v>
          </cell>
          <cell r="S3373" t="str">
            <v xml:space="preserve">32939 </v>
          </cell>
          <cell r="AA3373">
            <v>32939</v>
          </cell>
        </row>
        <row r="3374">
          <cell r="P3374">
            <v>0</v>
          </cell>
          <cell r="S3374" t="str">
            <v xml:space="preserve">32939 </v>
          </cell>
          <cell r="AA3374">
            <v>32939</v>
          </cell>
        </row>
        <row r="3375">
          <cell r="P3375">
            <v>0</v>
          </cell>
          <cell r="S3375" t="str">
            <v xml:space="preserve">32939 </v>
          </cell>
          <cell r="AA3375">
            <v>32939</v>
          </cell>
        </row>
        <row r="3376">
          <cell r="P3376">
            <v>0</v>
          </cell>
          <cell r="S3376" t="str">
            <v xml:space="preserve">32939 </v>
          </cell>
          <cell r="AA3376">
            <v>32939</v>
          </cell>
        </row>
        <row r="3377">
          <cell r="P3377">
            <v>0</v>
          </cell>
          <cell r="S3377" t="str">
            <v xml:space="preserve">32939 </v>
          </cell>
          <cell r="AA3377">
            <v>32939</v>
          </cell>
        </row>
        <row r="3378">
          <cell r="P3378">
            <v>0</v>
          </cell>
          <cell r="S3378" t="str">
            <v xml:space="preserve">32939 </v>
          </cell>
          <cell r="AA3378">
            <v>32939</v>
          </cell>
        </row>
        <row r="3379">
          <cell r="P3379">
            <v>0</v>
          </cell>
          <cell r="S3379" t="str">
            <v xml:space="preserve">32939 </v>
          </cell>
          <cell r="AA3379">
            <v>32939</v>
          </cell>
        </row>
        <row r="3380">
          <cell r="P3380">
            <v>0</v>
          </cell>
          <cell r="S3380" t="str">
            <v xml:space="preserve">32939 </v>
          </cell>
          <cell r="AA3380">
            <v>32939</v>
          </cell>
        </row>
        <row r="3381">
          <cell r="P3381">
            <v>0</v>
          </cell>
          <cell r="S3381" t="str">
            <v xml:space="preserve">32939 </v>
          </cell>
          <cell r="AA3381">
            <v>32939</v>
          </cell>
        </row>
        <row r="3382">
          <cell r="P3382">
            <v>0</v>
          </cell>
          <cell r="S3382" t="str">
            <v xml:space="preserve">32939 </v>
          </cell>
          <cell r="AA3382">
            <v>32939</v>
          </cell>
        </row>
        <row r="3383">
          <cell r="P3383">
            <v>0</v>
          </cell>
          <cell r="S3383" t="str">
            <v xml:space="preserve">32939 </v>
          </cell>
          <cell r="AA3383">
            <v>32939</v>
          </cell>
        </row>
        <row r="3384">
          <cell r="P3384">
            <v>0</v>
          </cell>
          <cell r="S3384" t="str">
            <v xml:space="preserve">32939 </v>
          </cell>
          <cell r="AA3384">
            <v>32939</v>
          </cell>
        </row>
        <row r="3385">
          <cell r="P3385">
            <v>0</v>
          </cell>
          <cell r="S3385" t="str">
            <v xml:space="preserve">32939 </v>
          </cell>
          <cell r="AA3385">
            <v>32939</v>
          </cell>
        </row>
        <row r="3386">
          <cell r="P3386">
            <v>0</v>
          </cell>
          <cell r="S3386" t="str">
            <v xml:space="preserve">32939 </v>
          </cell>
          <cell r="AA3386">
            <v>32939</v>
          </cell>
        </row>
        <row r="3387">
          <cell r="P3387">
            <v>0</v>
          </cell>
          <cell r="S3387" t="str">
            <v xml:space="preserve">32939 </v>
          </cell>
          <cell r="AA3387">
            <v>32939</v>
          </cell>
        </row>
        <row r="3388">
          <cell r="P3388">
            <v>0</v>
          </cell>
          <cell r="S3388" t="str">
            <v xml:space="preserve">32939 </v>
          </cell>
          <cell r="AA3388">
            <v>32939</v>
          </cell>
        </row>
        <row r="3389">
          <cell r="P3389">
            <v>0</v>
          </cell>
          <cell r="S3389" t="str">
            <v xml:space="preserve">32939 </v>
          </cell>
          <cell r="AA3389">
            <v>32939</v>
          </cell>
        </row>
        <row r="3390">
          <cell r="P3390">
            <v>0</v>
          </cell>
          <cell r="S3390" t="str">
            <v xml:space="preserve">32939 </v>
          </cell>
          <cell r="AA3390">
            <v>32939</v>
          </cell>
        </row>
        <row r="3391">
          <cell r="P3391">
            <v>0</v>
          </cell>
          <cell r="S3391" t="str">
            <v xml:space="preserve">32939 </v>
          </cell>
          <cell r="AA3391">
            <v>32939</v>
          </cell>
        </row>
        <row r="3392">
          <cell r="P3392">
            <v>0</v>
          </cell>
          <cell r="S3392" t="str">
            <v xml:space="preserve">32939 </v>
          </cell>
          <cell r="AA3392">
            <v>32939</v>
          </cell>
        </row>
        <row r="3393">
          <cell r="P3393">
            <v>0</v>
          </cell>
          <cell r="S3393" t="str">
            <v xml:space="preserve">32939 </v>
          </cell>
          <cell r="AA3393">
            <v>32939</v>
          </cell>
        </row>
        <row r="3394">
          <cell r="P3394">
            <v>0</v>
          </cell>
          <cell r="S3394" t="str">
            <v xml:space="preserve">32939 </v>
          </cell>
          <cell r="AA3394">
            <v>32939</v>
          </cell>
        </row>
        <row r="3395">
          <cell r="P3395">
            <v>0</v>
          </cell>
          <cell r="S3395" t="str">
            <v xml:space="preserve">32939 </v>
          </cell>
          <cell r="AA3395">
            <v>32939</v>
          </cell>
        </row>
        <row r="3396">
          <cell r="P3396">
            <v>0</v>
          </cell>
          <cell r="S3396" t="str">
            <v xml:space="preserve">32939 </v>
          </cell>
          <cell r="AA3396">
            <v>32939</v>
          </cell>
        </row>
        <row r="3397">
          <cell r="P3397">
            <v>0</v>
          </cell>
          <cell r="S3397" t="str">
            <v xml:space="preserve">32939 </v>
          </cell>
          <cell r="AA3397">
            <v>32939</v>
          </cell>
        </row>
        <row r="3398">
          <cell r="P3398">
            <v>0</v>
          </cell>
          <cell r="S3398" t="str">
            <v xml:space="preserve">32939 </v>
          </cell>
          <cell r="AA3398">
            <v>32939</v>
          </cell>
        </row>
        <row r="3399">
          <cell r="P3399">
            <v>0</v>
          </cell>
          <cell r="S3399" t="str">
            <v xml:space="preserve">32939 </v>
          </cell>
          <cell r="AA3399">
            <v>32939</v>
          </cell>
        </row>
        <row r="3400">
          <cell r="P3400">
            <v>0</v>
          </cell>
          <cell r="S3400" t="str">
            <v xml:space="preserve">32939 </v>
          </cell>
          <cell r="AA3400">
            <v>32939</v>
          </cell>
        </row>
        <row r="3401">
          <cell r="P3401">
            <v>0</v>
          </cell>
          <cell r="S3401" t="str">
            <v xml:space="preserve">32939 </v>
          </cell>
          <cell r="AA3401">
            <v>32939</v>
          </cell>
        </row>
        <row r="3402">
          <cell r="P3402">
            <v>0</v>
          </cell>
          <cell r="S3402" t="str">
            <v xml:space="preserve">32939 </v>
          </cell>
          <cell r="AA3402">
            <v>32939</v>
          </cell>
        </row>
        <row r="3403">
          <cell r="P3403">
            <v>0</v>
          </cell>
          <cell r="S3403" t="str">
            <v xml:space="preserve">32939 </v>
          </cell>
          <cell r="AA3403">
            <v>32939</v>
          </cell>
        </row>
        <row r="3404">
          <cell r="P3404">
            <v>0</v>
          </cell>
          <cell r="S3404" t="str">
            <v xml:space="preserve">32939 </v>
          </cell>
          <cell r="AA3404">
            <v>32939</v>
          </cell>
        </row>
        <row r="3405">
          <cell r="P3405">
            <v>0</v>
          </cell>
          <cell r="S3405" t="str">
            <v xml:space="preserve">32939 </v>
          </cell>
          <cell r="AA3405">
            <v>32939</v>
          </cell>
        </row>
        <row r="3406">
          <cell r="P3406">
            <v>0</v>
          </cell>
          <cell r="S3406" t="str">
            <v xml:space="preserve">32939 </v>
          </cell>
          <cell r="AA3406">
            <v>32939</v>
          </cell>
        </row>
        <row r="3407">
          <cell r="P3407">
            <v>0</v>
          </cell>
          <cell r="S3407" t="str">
            <v xml:space="preserve">32939 </v>
          </cell>
          <cell r="AA3407">
            <v>32939</v>
          </cell>
        </row>
        <row r="3408">
          <cell r="P3408">
            <v>0</v>
          </cell>
          <cell r="S3408" t="str">
            <v xml:space="preserve">32939 </v>
          </cell>
          <cell r="AA3408">
            <v>32939</v>
          </cell>
        </row>
        <row r="3409">
          <cell r="P3409">
            <v>0</v>
          </cell>
          <cell r="S3409" t="str">
            <v xml:space="preserve">32939 </v>
          </cell>
          <cell r="AA3409">
            <v>32939</v>
          </cell>
        </row>
        <row r="3410">
          <cell r="P3410">
            <v>0</v>
          </cell>
          <cell r="S3410" t="str">
            <v xml:space="preserve">32939 </v>
          </cell>
          <cell r="AA3410">
            <v>32939</v>
          </cell>
        </row>
        <row r="3411">
          <cell r="P3411">
            <v>0</v>
          </cell>
          <cell r="S3411" t="str">
            <v xml:space="preserve">32939 </v>
          </cell>
          <cell r="AA3411">
            <v>32939</v>
          </cell>
        </row>
        <row r="3412">
          <cell r="P3412">
            <v>0</v>
          </cell>
          <cell r="S3412" t="str">
            <v xml:space="preserve">32939 </v>
          </cell>
          <cell r="AA3412">
            <v>32939</v>
          </cell>
        </row>
        <row r="3413">
          <cell r="P3413">
            <v>0</v>
          </cell>
          <cell r="S3413" t="str">
            <v xml:space="preserve">32939 </v>
          </cell>
          <cell r="AA3413">
            <v>32939</v>
          </cell>
        </row>
        <row r="3414">
          <cell r="P3414">
            <v>0</v>
          </cell>
          <cell r="S3414" t="str">
            <v xml:space="preserve">32939 </v>
          </cell>
          <cell r="AA3414">
            <v>32939</v>
          </cell>
        </row>
        <row r="3415">
          <cell r="P3415">
            <v>0</v>
          </cell>
          <cell r="S3415" t="str">
            <v xml:space="preserve">32939 </v>
          </cell>
          <cell r="AA3415">
            <v>32939</v>
          </cell>
        </row>
        <row r="3416">
          <cell r="P3416">
            <v>0</v>
          </cell>
          <cell r="S3416" t="str">
            <v xml:space="preserve">32939 </v>
          </cell>
          <cell r="AA3416">
            <v>32939</v>
          </cell>
        </row>
        <row r="3417">
          <cell r="P3417">
            <v>0</v>
          </cell>
          <cell r="S3417" t="str">
            <v xml:space="preserve">32939 </v>
          </cell>
          <cell r="AA3417">
            <v>32939</v>
          </cell>
        </row>
        <row r="3418">
          <cell r="P3418">
            <v>0</v>
          </cell>
          <cell r="S3418" t="str">
            <v xml:space="preserve">32939 </v>
          </cell>
          <cell r="AA3418">
            <v>32939</v>
          </cell>
        </row>
        <row r="3419">
          <cell r="P3419">
            <v>0</v>
          </cell>
          <cell r="S3419" t="str">
            <v xml:space="preserve">32939 </v>
          </cell>
          <cell r="AA3419">
            <v>32939</v>
          </cell>
        </row>
        <row r="3420">
          <cell r="P3420">
            <v>0</v>
          </cell>
          <cell r="S3420" t="str">
            <v xml:space="preserve">32939 </v>
          </cell>
          <cell r="AA3420">
            <v>32939</v>
          </cell>
        </row>
        <row r="3421">
          <cell r="P3421">
            <v>0</v>
          </cell>
          <cell r="S3421" t="str">
            <v xml:space="preserve">32939 </v>
          </cell>
          <cell r="AA3421">
            <v>32939</v>
          </cell>
        </row>
        <row r="3422">
          <cell r="P3422">
            <v>0</v>
          </cell>
          <cell r="S3422" t="str">
            <v xml:space="preserve">32939 </v>
          </cell>
          <cell r="AA3422">
            <v>32939</v>
          </cell>
        </row>
        <row r="3423">
          <cell r="P3423">
            <v>0</v>
          </cell>
          <cell r="S3423" t="str">
            <v xml:space="preserve">32939 </v>
          </cell>
          <cell r="AA3423">
            <v>32939</v>
          </cell>
        </row>
        <row r="3424">
          <cell r="P3424">
            <v>0</v>
          </cell>
          <cell r="S3424" t="str">
            <v xml:space="preserve">32939 </v>
          </cell>
          <cell r="AA3424">
            <v>32939</v>
          </cell>
        </row>
        <row r="3425">
          <cell r="P3425">
            <v>0</v>
          </cell>
          <cell r="S3425" t="str">
            <v xml:space="preserve">32939 </v>
          </cell>
          <cell r="AA3425">
            <v>32939</v>
          </cell>
        </row>
        <row r="3426">
          <cell r="P3426">
            <v>0</v>
          </cell>
          <cell r="S3426" t="str">
            <v xml:space="preserve">32939 </v>
          </cell>
          <cell r="AA3426">
            <v>32939</v>
          </cell>
        </row>
        <row r="3427">
          <cell r="P3427">
            <v>0</v>
          </cell>
          <cell r="S3427" t="str">
            <v xml:space="preserve">32939 </v>
          </cell>
          <cell r="AA3427">
            <v>32939</v>
          </cell>
        </row>
        <row r="3428">
          <cell r="P3428">
            <v>0</v>
          </cell>
          <cell r="S3428" t="str">
            <v xml:space="preserve">32939 </v>
          </cell>
          <cell r="AA3428">
            <v>32939</v>
          </cell>
        </row>
        <row r="3429">
          <cell r="P3429">
            <v>0</v>
          </cell>
          <cell r="S3429" t="str">
            <v xml:space="preserve">32939 </v>
          </cell>
          <cell r="AA3429">
            <v>32939</v>
          </cell>
        </row>
        <row r="3430">
          <cell r="P3430">
            <v>0</v>
          </cell>
          <cell r="S3430" t="str">
            <v xml:space="preserve">32939 </v>
          </cell>
          <cell r="AA3430">
            <v>32939</v>
          </cell>
        </row>
        <row r="3431">
          <cell r="P3431">
            <v>0</v>
          </cell>
          <cell r="S3431" t="str">
            <v xml:space="preserve">32939 </v>
          </cell>
          <cell r="AA3431">
            <v>32939</v>
          </cell>
        </row>
        <row r="3432">
          <cell r="P3432">
            <v>0</v>
          </cell>
          <cell r="S3432" t="str">
            <v xml:space="preserve">32939 </v>
          </cell>
          <cell r="AA3432">
            <v>32939</v>
          </cell>
        </row>
        <row r="3433">
          <cell r="P3433">
            <v>0</v>
          </cell>
          <cell r="S3433" t="str">
            <v xml:space="preserve">32939 </v>
          </cell>
          <cell r="AA3433">
            <v>32939</v>
          </cell>
        </row>
        <row r="3434">
          <cell r="P3434">
            <v>0</v>
          </cell>
          <cell r="S3434" t="str">
            <v xml:space="preserve">32939 </v>
          </cell>
          <cell r="AA3434">
            <v>32939</v>
          </cell>
        </row>
        <row r="3435">
          <cell r="P3435">
            <v>0</v>
          </cell>
          <cell r="S3435" t="str">
            <v xml:space="preserve">32939 </v>
          </cell>
          <cell r="AA3435">
            <v>32939</v>
          </cell>
        </row>
        <row r="3436">
          <cell r="P3436">
            <v>0</v>
          </cell>
          <cell r="S3436" t="str">
            <v xml:space="preserve">32939 </v>
          </cell>
          <cell r="AA3436">
            <v>32939</v>
          </cell>
        </row>
        <row r="3437">
          <cell r="P3437">
            <v>0</v>
          </cell>
          <cell r="S3437" t="str">
            <v xml:space="preserve">32939 </v>
          </cell>
          <cell r="AA3437">
            <v>32939</v>
          </cell>
        </row>
        <row r="3438">
          <cell r="P3438">
            <v>0</v>
          </cell>
          <cell r="S3438" t="str">
            <v xml:space="preserve">32939 </v>
          </cell>
          <cell r="AA3438">
            <v>32939</v>
          </cell>
        </row>
        <row r="3439">
          <cell r="P3439">
            <v>0</v>
          </cell>
          <cell r="S3439" t="str">
            <v xml:space="preserve">32939 </v>
          </cell>
          <cell r="AA3439">
            <v>32939</v>
          </cell>
        </row>
        <row r="3440">
          <cell r="P3440">
            <v>0</v>
          </cell>
          <cell r="S3440" t="str">
            <v xml:space="preserve">32939 </v>
          </cell>
          <cell r="AA3440">
            <v>32939</v>
          </cell>
        </row>
        <row r="3441">
          <cell r="P3441">
            <v>0</v>
          </cell>
          <cell r="S3441" t="str">
            <v xml:space="preserve">32939 </v>
          </cell>
          <cell r="AA3441">
            <v>32939</v>
          </cell>
        </row>
        <row r="3442">
          <cell r="P3442">
            <v>0</v>
          </cell>
          <cell r="S3442" t="str">
            <v xml:space="preserve">32939 </v>
          </cell>
          <cell r="AA3442">
            <v>32939</v>
          </cell>
        </row>
        <row r="3443">
          <cell r="P3443">
            <v>0</v>
          </cell>
          <cell r="S3443" t="str">
            <v xml:space="preserve">32939 </v>
          </cell>
          <cell r="AA3443">
            <v>32939</v>
          </cell>
        </row>
        <row r="3444">
          <cell r="P3444">
            <v>0</v>
          </cell>
          <cell r="S3444" t="str">
            <v xml:space="preserve">32939 </v>
          </cell>
          <cell r="AA3444">
            <v>32939</v>
          </cell>
        </row>
        <row r="3445">
          <cell r="P3445">
            <v>0</v>
          </cell>
          <cell r="S3445" t="str">
            <v xml:space="preserve">32939 </v>
          </cell>
          <cell r="AA3445">
            <v>32939</v>
          </cell>
        </row>
        <row r="3446">
          <cell r="P3446">
            <v>0</v>
          </cell>
          <cell r="S3446" t="str">
            <v xml:space="preserve">32939 </v>
          </cell>
          <cell r="AA3446">
            <v>32939</v>
          </cell>
        </row>
        <row r="3447">
          <cell r="P3447">
            <v>0</v>
          </cell>
          <cell r="S3447" t="str">
            <v xml:space="preserve">32939 </v>
          </cell>
          <cell r="AA3447">
            <v>32939</v>
          </cell>
        </row>
        <row r="3448">
          <cell r="P3448">
            <v>0</v>
          </cell>
          <cell r="S3448" t="str">
            <v xml:space="preserve">32939 </v>
          </cell>
          <cell r="AA3448">
            <v>32939</v>
          </cell>
        </row>
        <row r="3449">
          <cell r="P3449">
            <v>0</v>
          </cell>
          <cell r="S3449" t="str">
            <v xml:space="preserve">32939 </v>
          </cell>
          <cell r="AA3449">
            <v>32939</v>
          </cell>
        </row>
        <row r="3450">
          <cell r="P3450">
            <v>0</v>
          </cell>
          <cell r="S3450" t="str">
            <v xml:space="preserve">32939 </v>
          </cell>
          <cell r="AA3450">
            <v>32939</v>
          </cell>
        </row>
        <row r="3451">
          <cell r="P3451">
            <v>0</v>
          </cell>
          <cell r="S3451" t="str">
            <v xml:space="preserve">32939 </v>
          </cell>
          <cell r="AA3451">
            <v>32939</v>
          </cell>
        </row>
        <row r="3452">
          <cell r="P3452">
            <v>0</v>
          </cell>
          <cell r="S3452" t="str">
            <v xml:space="preserve">32939 </v>
          </cell>
          <cell r="AA3452">
            <v>32939</v>
          </cell>
        </row>
        <row r="3453">
          <cell r="P3453">
            <v>0</v>
          </cell>
          <cell r="S3453" t="str">
            <v xml:space="preserve">32939 </v>
          </cell>
          <cell r="AA3453">
            <v>32939</v>
          </cell>
        </row>
        <row r="3454">
          <cell r="P3454">
            <v>0</v>
          </cell>
          <cell r="S3454" t="str">
            <v xml:space="preserve">32939 </v>
          </cell>
          <cell r="AA3454">
            <v>32939</v>
          </cell>
        </row>
        <row r="3455">
          <cell r="P3455">
            <v>0</v>
          </cell>
          <cell r="S3455" t="str">
            <v xml:space="preserve">32939 </v>
          </cell>
          <cell r="AA3455">
            <v>32939</v>
          </cell>
        </row>
        <row r="3456">
          <cell r="P3456">
            <v>0</v>
          </cell>
          <cell r="S3456" t="str">
            <v xml:space="preserve">32939 </v>
          </cell>
          <cell r="AA3456">
            <v>32939</v>
          </cell>
        </row>
        <row r="3457">
          <cell r="P3457">
            <v>0</v>
          </cell>
          <cell r="S3457" t="str">
            <v xml:space="preserve">32939 </v>
          </cell>
          <cell r="AA3457">
            <v>32939</v>
          </cell>
        </row>
        <row r="3458">
          <cell r="P3458">
            <v>0</v>
          </cell>
          <cell r="S3458" t="str">
            <v xml:space="preserve">32939 </v>
          </cell>
          <cell r="AA3458">
            <v>32939</v>
          </cell>
        </row>
        <row r="3459">
          <cell r="P3459">
            <v>0</v>
          </cell>
          <cell r="S3459" t="str">
            <v xml:space="preserve">32939 </v>
          </cell>
          <cell r="AA3459">
            <v>32939</v>
          </cell>
        </row>
        <row r="3460">
          <cell r="P3460">
            <v>0</v>
          </cell>
          <cell r="S3460" t="str">
            <v xml:space="preserve">32939 </v>
          </cell>
          <cell r="AA3460">
            <v>32939</v>
          </cell>
        </row>
        <row r="3461">
          <cell r="P3461">
            <v>0</v>
          </cell>
          <cell r="S3461" t="str">
            <v xml:space="preserve">32939 </v>
          </cell>
          <cell r="AA3461">
            <v>32939</v>
          </cell>
        </row>
        <row r="3462">
          <cell r="P3462">
            <v>0</v>
          </cell>
          <cell r="S3462" t="str">
            <v xml:space="preserve">32939 </v>
          </cell>
          <cell r="AA3462">
            <v>32939</v>
          </cell>
        </row>
        <row r="3463">
          <cell r="P3463">
            <v>0</v>
          </cell>
          <cell r="S3463" t="str">
            <v xml:space="preserve">32939 </v>
          </cell>
          <cell r="AA3463">
            <v>32939</v>
          </cell>
        </row>
        <row r="3464">
          <cell r="P3464">
            <v>0</v>
          </cell>
          <cell r="S3464" t="str">
            <v xml:space="preserve">32939 </v>
          </cell>
          <cell r="AA3464">
            <v>32939</v>
          </cell>
        </row>
        <row r="3465">
          <cell r="P3465">
            <v>0</v>
          </cell>
          <cell r="S3465" t="str">
            <v xml:space="preserve">32939 </v>
          </cell>
          <cell r="AA3465">
            <v>32939</v>
          </cell>
        </row>
        <row r="3466">
          <cell r="P3466">
            <v>0</v>
          </cell>
          <cell r="S3466" t="str">
            <v xml:space="preserve">32939 </v>
          </cell>
          <cell r="AA3466">
            <v>32939</v>
          </cell>
        </row>
        <row r="3467">
          <cell r="P3467">
            <v>0</v>
          </cell>
          <cell r="S3467" t="str">
            <v xml:space="preserve">32939 </v>
          </cell>
          <cell r="AA3467">
            <v>32939</v>
          </cell>
        </row>
        <row r="3468">
          <cell r="P3468">
            <v>0</v>
          </cell>
          <cell r="S3468" t="str">
            <v xml:space="preserve">32939 </v>
          </cell>
          <cell r="AA3468">
            <v>32939</v>
          </cell>
        </row>
        <row r="3469">
          <cell r="P3469">
            <v>0</v>
          </cell>
          <cell r="S3469" t="str">
            <v xml:space="preserve">32939 </v>
          </cell>
          <cell r="AA3469">
            <v>32939</v>
          </cell>
        </row>
        <row r="3470">
          <cell r="P3470">
            <v>0</v>
          </cell>
          <cell r="S3470" t="str">
            <v xml:space="preserve">32939 </v>
          </cell>
          <cell r="AA3470">
            <v>32939</v>
          </cell>
        </row>
        <row r="3471">
          <cell r="P3471">
            <v>0</v>
          </cell>
          <cell r="S3471" t="str">
            <v xml:space="preserve">32939 </v>
          </cell>
          <cell r="AA3471">
            <v>32939</v>
          </cell>
        </row>
        <row r="3472">
          <cell r="P3472">
            <v>0</v>
          </cell>
          <cell r="S3472" t="str">
            <v xml:space="preserve">32939 </v>
          </cell>
          <cell r="AA3472">
            <v>32939</v>
          </cell>
        </row>
        <row r="3473">
          <cell r="P3473">
            <v>0</v>
          </cell>
          <cell r="S3473" t="str">
            <v xml:space="preserve">32939 </v>
          </cell>
          <cell r="AA3473">
            <v>32939</v>
          </cell>
        </row>
        <row r="3474">
          <cell r="P3474">
            <v>0</v>
          </cell>
          <cell r="S3474" t="str">
            <v xml:space="preserve">32939 </v>
          </cell>
          <cell r="AA3474">
            <v>32939</v>
          </cell>
        </row>
        <row r="3475">
          <cell r="P3475">
            <v>0</v>
          </cell>
          <cell r="S3475" t="str">
            <v xml:space="preserve">32939 </v>
          </cell>
          <cell r="AA3475">
            <v>32939</v>
          </cell>
        </row>
        <row r="3476">
          <cell r="P3476">
            <v>0</v>
          </cell>
          <cell r="S3476" t="str">
            <v xml:space="preserve">32939 </v>
          </cell>
          <cell r="AA3476">
            <v>32939</v>
          </cell>
        </row>
        <row r="3477">
          <cell r="P3477">
            <v>0</v>
          </cell>
          <cell r="S3477" t="str">
            <v xml:space="preserve">32939 </v>
          </cell>
          <cell r="AA3477">
            <v>32939</v>
          </cell>
        </row>
        <row r="3478">
          <cell r="P3478">
            <v>0</v>
          </cell>
          <cell r="S3478" t="str">
            <v xml:space="preserve">32939 </v>
          </cell>
          <cell r="AA3478">
            <v>32939</v>
          </cell>
        </row>
        <row r="3479">
          <cell r="P3479">
            <v>0</v>
          </cell>
          <cell r="S3479" t="str">
            <v xml:space="preserve">32939 </v>
          </cell>
          <cell r="AA3479">
            <v>32939</v>
          </cell>
        </row>
        <row r="3480">
          <cell r="P3480">
            <v>0</v>
          </cell>
          <cell r="S3480" t="str">
            <v xml:space="preserve">32939 </v>
          </cell>
          <cell r="AA3480">
            <v>32939</v>
          </cell>
        </row>
        <row r="3481">
          <cell r="P3481">
            <v>0</v>
          </cell>
          <cell r="S3481" t="str">
            <v xml:space="preserve">32939 </v>
          </cell>
          <cell r="AA3481">
            <v>32939</v>
          </cell>
        </row>
        <row r="3482">
          <cell r="P3482">
            <v>0</v>
          </cell>
          <cell r="S3482" t="str">
            <v xml:space="preserve">32939 </v>
          </cell>
          <cell r="AA3482">
            <v>32939</v>
          </cell>
        </row>
        <row r="3483">
          <cell r="P3483">
            <v>0</v>
          </cell>
          <cell r="S3483" t="str">
            <v xml:space="preserve">32939 </v>
          </cell>
          <cell r="AA3483">
            <v>32939</v>
          </cell>
        </row>
        <row r="3484">
          <cell r="P3484">
            <v>0</v>
          </cell>
          <cell r="S3484" t="str">
            <v xml:space="preserve">32939 </v>
          </cell>
          <cell r="AA3484">
            <v>32939</v>
          </cell>
        </row>
        <row r="3485">
          <cell r="P3485">
            <v>0</v>
          </cell>
          <cell r="S3485" t="str">
            <v xml:space="preserve">32939 </v>
          </cell>
          <cell r="AA3485">
            <v>32939</v>
          </cell>
        </row>
        <row r="3486">
          <cell r="P3486">
            <v>0</v>
          </cell>
          <cell r="S3486" t="str">
            <v xml:space="preserve">32939 </v>
          </cell>
          <cell r="AA3486">
            <v>32939</v>
          </cell>
        </row>
        <row r="3487">
          <cell r="P3487">
            <v>0</v>
          </cell>
          <cell r="S3487" t="str">
            <v xml:space="preserve">32939 </v>
          </cell>
          <cell r="AA3487">
            <v>32939</v>
          </cell>
        </row>
        <row r="3488">
          <cell r="P3488">
            <v>0</v>
          </cell>
          <cell r="S3488" t="str">
            <v xml:space="preserve">32939 </v>
          </cell>
          <cell r="AA3488">
            <v>32939</v>
          </cell>
        </row>
        <row r="3489">
          <cell r="P3489">
            <v>0</v>
          </cell>
          <cell r="S3489" t="str">
            <v xml:space="preserve">32939 </v>
          </cell>
          <cell r="AA3489">
            <v>32939</v>
          </cell>
        </row>
        <row r="3490">
          <cell r="P3490">
            <v>0</v>
          </cell>
          <cell r="S3490" t="str">
            <v xml:space="preserve">32939 </v>
          </cell>
          <cell r="AA3490">
            <v>32939</v>
          </cell>
        </row>
        <row r="3491">
          <cell r="P3491">
            <v>0</v>
          </cell>
          <cell r="S3491" t="str">
            <v xml:space="preserve">32939 </v>
          </cell>
          <cell r="AA3491">
            <v>32939</v>
          </cell>
        </row>
        <row r="3492">
          <cell r="P3492">
            <v>0</v>
          </cell>
          <cell r="S3492" t="str">
            <v xml:space="preserve">32939 </v>
          </cell>
          <cell r="AA3492">
            <v>32939</v>
          </cell>
        </row>
        <row r="3493">
          <cell r="P3493">
            <v>0</v>
          </cell>
          <cell r="S3493" t="str">
            <v xml:space="preserve">32939 </v>
          </cell>
          <cell r="AA3493">
            <v>32939</v>
          </cell>
        </row>
        <row r="3494">
          <cell r="P3494">
            <v>0</v>
          </cell>
          <cell r="S3494" t="str">
            <v xml:space="preserve">32939 </v>
          </cell>
          <cell r="AA3494">
            <v>32939</v>
          </cell>
        </row>
        <row r="3495">
          <cell r="P3495">
            <v>0</v>
          </cell>
          <cell r="S3495" t="str">
            <v xml:space="preserve">32939 </v>
          </cell>
          <cell r="AA3495">
            <v>32939</v>
          </cell>
        </row>
        <row r="3496">
          <cell r="P3496">
            <v>0</v>
          </cell>
          <cell r="S3496" t="str">
            <v xml:space="preserve">32939 </v>
          </cell>
          <cell r="AA3496">
            <v>32939</v>
          </cell>
        </row>
        <row r="3497">
          <cell r="P3497">
            <v>0</v>
          </cell>
          <cell r="S3497" t="str">
            <v xml:space="preserve">32939 </v>
          </cell>
          <cell r="AA3497">
            <v>32939</v>
          </cell>
        </row>
        <row r="3498">
          <cell r="P3498">
            <v>0</v>
          </cell>
          <cell r="S3498" t="str">
            <v xml:space="preserve">32939 </v>
          </cell>
          <cell r="AA3498">
            <v>32939</v>
          </cell>
        </row>
        <row r="3499">
          <cell r="P3499">
            <v>0</v>
          </cell>
          <cell r="S3499" t="str">
            <v xml:space="preserve">32939 </v>
          </cell>
          <cell r="AA3499">
            <v>32939</v>
          </cell>
        </row>
        <row r="3500">
          <cell r="P3500">
            <v>0</v>
          </cell>
          <cell r="S3500" t="str">
            <v xml:space="preserve">32939 </v>
          </cell>
          <cell r="AA3500">
            <v>32939</v>
          </cell>
        </row>
        <row r="3501">
          <cell r="P3501">
            <v>0</v>
          </cell>
          <cell r="S3501" t="str">
            <v xml:space="preserve">32939 </v>
          </cell>
          <cell r="AA3501">
            <v>32939</v>
          </cell>
        </row>
        <row r="3502">
          <cell r="P3502">
            <v>0</v>
          </cell>
          <cell r="S3502" t="str">
            <v xml:space="preserve">32939 </v>
          </cell>
          <cell r="AA3502">
            <v>32939</v>
          </cell>
        </row>
        <row r="3503">
          <cell r="P3503">
            <v>0</v>
          </cell>
          <cell r="S3503" t="str">
            <v xml:space="preserve">32939 </v>
          </cell>
          <cell r="AA3503">
            <v>32939</v>
          </cell>
        </row>
        <row r="3504">
          <cell r="P3504">
            <v>0</v>
          </cell>
          <cell r="S3504" t="str">
            <v xml:space="preserve">32939 </v>
          </cell>
          <cell r="AA3504">
            <v>32939</v>
          </cell>
        </row>
        <row r="3505">
          <cell r="P3505">
            <v>0</v>
          </cell>
          <cell r="S3505" t="str">
            <v xml:space="preserve">32939 </v>
          </cell>
          <cell r="AA3505">
            <v>32939</v>
          </cell>
        </row>
        <row r="3506">
          <cell r="P3506">
            <v>0</v>
          </cell>
          <cell r="S3506" t="str">
            <v xml:space="preserve">32939 </v>
          </cell>
          <cell r="AA3506">
            <v>32939</v>
          </cell>
        </row>
        <row r="3507">
          <cell r="P3507">
            <v>0</v>
          </cell>
          <cell r="S3507" t="str">
            <v xml:space="preserve">32939 </v>
          </cell>
          <cell r="AA3507">
            <v>32939</v>
          </cell>
        </row>
        <row r="3508">
          <cell r="P3508">
            <v>0</v>
          </cell>
          <cell r="S3508" t="str">
            <v xml:space="preserve">32939 </v>
          </cell>
          <cell r="AA3508">
            <v>32939</v>
          </cell>
        </row>
        <row r="3509">
          <cell r="P3509">
            <v>0</v>
          </cell>
          <cell r="S3509" t="str">
            <v xml:space="preserve">32939 </v>
          </cell>
          <cell r="AA3509">
            <v>32939</v>
          </cell>
        </row>
        <row r="3510">
          <cell r="P3510">
            <v>0</v>
          </cell>
          <cell r="S3510" t="str">
            <v xml:space="preserve">32939 </v>
          </cell>
          <cell r="AA3510">
            <v>32939</v>
          </cell>
        </row>
        <row r="3511">
          <cell r="P3511">
            <v>0</v>
          </cell>
          <cell r="S3511" t="str">
            <v xml:space="preserve">32939 </v>
          </cell>
          <cell r="AA3511">
            <v>32939</v>
          </cell>
        </row>
        <row r="3512">
          <cell r="P3512">
            <v>0</v>
          </cell>
          <cell r="S3512" t="str">
            <v xml:space="preserve">32939 </v>
          </cell>
          <cell r="AA3512">
            <v>32939</v>
          </cell>
        </row>
        <row r="3513">
          <cell r="P3513">
            <v>0</v>
          </cell>
          <cell r="S3513" t="str">
            <v xml:space="preserve">32939 </v>
          </cell>
          <cell r="AA3513">
            <v>32939</v>
          </cell>
        </row>
        <row r="3514">
          <cell r="P3514">
            <v>0</v>
          </cell>
          <cell r="S3514" t="str">
            <v xml:space="preserve">32939 </v>
          </cell>
          <cell r="AA3514">
            <v>32939</v>
          </cell>
        </row>
        <row r="3515">
          <cell r="P3515">
            <v>0</v>
          </cell>
          <cell r="S3515" t="str">
            <v xml:space="preserve">32939 </v>
          </cell>
          <cell r="AA3515">
            <v>32939</v>
          </cell>
        </row>
        <row r="3516">
          <cell r="P3516">
            <v>0</v>
          </cell>
          <cell r="S3516" t="str">
            <v xml:space="preserve">32939 </v>
          </cell>
          <cell r="AA3516">
            <v>32939</v>
          </cell>
        </row>
        <row r="3517">
          <cell r="P3517">
            <v>0</v>
          </cell>
          <cell r="S3517" t="str">
            <v xml:space="preserve">32939 </v>
          </cell>
          <cell r="AA3517">
            <v>32939</v>
          </cell>
        </row>
        <row r="3518">
          <cell r="P3518">
            <v>0</v>
          </cell>
          <cell r="S3518" t="str">
            <v xml:space="preserve">32939 </v>
          </cell>
          <cell r="AA3518">
            <v>32939</v>
          </cell>
        </row>
        <row r="3519">
          <cell r="P3519">
            <v>0</v>
          </cell>
          <cell r="S3519" t="str">
            <v xml:space="preserve">32939 </v>
          </cell>
          <cell r="AA3519">
            <v>32939</v>
          </cell>
        </row>
        <row r="3520">
          <cell r="P3520">
            <v>0</v>
          </cell>
          <cell r="S3520" t="str">
            <v xml:space="preserve">32939 </v>
          </cell>
          <cell r="AA3520">
            <v>32939</v>
          </cell>
        </row>
        <row r="3521">
          <cell r="P3521">
            <v>0</v>
          </cell>
          <cell r="S3521" t="str">
            <v xml:space="preserve">32939 </v>
          </cell>
          <cell r="AA3521">
            <v>32939</v>
          </cell>
        </row>
        <row r="3522">
          <cell r="P3522">
            <v>0</v>
          </cell>
          <cell r="S3522" t="str">
            <v xml:space="preserve">32939 </v>
          </cell>
          <cell r="AA3522">
            <v>32939</v>
          </cell>
        </row>
        <row r="3523">
          <cell r="P3523">
            <v>0</v>
          </cell>
          <cell r="S3523" t="str">
            <v xml:space="preserve">32939 </v>
          </cell>
          <cell r="AA3523">
            <v>32939</v>
          </cell>
        </row>
        <row r="3524">
          <cell r="P3524">
            <v>0</v>
          </cell>
          <cell r="S3524" t="str">
            <v xml:space="preserve">32939 </v>
          </cell>
          <cell r="AA3524">
            <v>32939</v>
          </cell>
        </row>
        <row r="3525">
          <cell r="P3525">
            <v>0</v>
          </cell>
          <cell r="S3525" t="str">
            <v xml:space="preserve">32939 </v>
          </cell>
          <cell r="AA3525">
            <v>32939</v>
          </cell>
        </row>
        <row r="3526">
          <cell r="P3526">
            <v>0</v>
          </cell>
          <cell r="S3526" t="str">
            <v xml:space="preserve">32939 </v>
          </cell>
          <cell r="AA3526">
            <v>32939</v>
          </cell>
        </row>
        <row r="3527">
          <cell r="P3527">
            <v>0</v>
          </cell>
          <cell r="S3527" t="str">
            <v xml:space="preserve">32939 </v>
          </cell>
          <cell r="AA3527">
            <v>32939</v>
          </cell>
        </row>
        <row r="3528">
          <cell r="P3528">
            <v>0</v>
          </cell>
          <cell r="S3528" t="str">
            <v xml:space="preserve">32939 </v>
          </cell>
          <cell r="AA3528">
            <v>32939</v>
          </cell>
        </row>
        <row r="3529">
          <cell r="P3529">
            <v>0</v>
          </cell>
          <cell r="S3529" t="str">
            <v xml:space="preserve">32939 </v>
          </cell>
          <cell r="AA3529">
            <v>32939</v>
          </cell>
        </row>
        <row r="3530">
          <cell r="P3530">
            <v>0</v>
          </cell>
          <cell r="S3530" t="str">
            <v xml:space="preserve">32939 </v>
          </cell>
          <cell r="AA3530">
            <v>32939</v>
          </cell>
        </row>
        <row r="3531">
          <cell r="P3531">
            <v>0</v>
          </cell>
          <cell r="S3531" t="str">
            <v xml:space="preserve">32939 </v>
          </cell>
          <cell r="AA3531">
            <v>32939</v>
          </cell>
        </row>
        <row r="3532">
          <cell r="P3532">
            <v>0</v>
          </cell>
          <cell r="S3532" t="str">
            <v xml:space="preserve">32939 </v>
          </cell>
          <cell r="AA3532">
            <v>32939</v>
          </cell>
        </row>
        <row r="3533">
          <cell r="P3533">
            <v>0</v>
          </cell>
          <cell r="S3533" t="str">
            <v xml:space="preserve">32939 </v>
          </cell>
          <cell r="AA3533">
            <v>32939</v>
          </cell>
        </row>
        <row r="3534">
          <cell r="P3534">
            <v>0</v>
          </cell>
          <cell r="S3534" t="str">
            <v xml:space="preserve">32939 </v>
          </cell>
          <cell r="AA3534">
            <v>32939</v>
          </cell>
        </row>
        <row r="3535">
          <cell r="P3535">
            <v>0</v>
          </cell>
          <cell r="S3535" t="str">
            <v xml:space="preserve">32939 </v>
          </cell>
          <cell r="AA3535">
            <v>32939</v>
          </cell>
        </row>
        <row r="3536">
          <cell r="P3536">
            <v>0</v>
          </cell>
          <cell r="S3536" t="str">
            <v xml:space="preserve">32939 </v>
          </cell>
          <cell r="AA3536">
            <v>32939</v>
          </cell>
        </row>
        <row r="3537">
          <cell r="P3537">
            <v>0</v>
          </cell>
          <cell r="S3537" t="str">
            <v xml:space="preserve">32939 </v>
          </cell>
          <cell r="AA3537">
            <v>32939</v>
          </cell>
        </row>
        <row r="3538">
          <cell r="P3538">
            <v>0</v>
          </cell>
          <cell r="S3538" t="str">
            <v xml:space="preserve">32939 </v>
          </cell>
          <cell r="AA3538">
            <v>32939</v>
          </cell>
        </row>
        <row r="3539">
          <cell r="P3539">
            <v>0</v>
          </cell>
          <cell r="S3539" t="str">
            <v xml:space="preserve">32939 </v>
          </cell>
          <cell r="AA3539">
            <v>32939</v>
          </cell>
        </row>
        <row r="3540">
          <cell r="P3540">
            <v>0</v>
          </cell>
          <cell r="S3540" t="str">
            <v xml:space="preserve">32939 </v>
          </cell>
          <cell r="AA3540">
            <v>32939</v>
          </cell>
        </row>
        <row r="3541">
          <cell r="P3541">
            <v>0</v>
          </cell>
          <cell r="S3541" t="str">
            <v xml:space="preserve">32939 </v>
          </cell>
          <cell r="AA3541">
            <v>32939</v>
          </cell>
        </row>
        <row r="3542">
          <cell r="P3542">
            <v>0</v>
          </cell>
          <cell r="S3542" t="str">
            <v xml:space="preserve">32939 </v>
          </cell>
          <cell r="AA3542">
            <v>32939</v>
          </cell>
        </row>
        <row r="3543">
          <cell r="P3543">
            <v>0</v>
          </cell>
          <cell r="S3543" t="str">
            <v xml:space="preserve">32939 </v>
          </cell>
          <cell r="AA3543">
            <v>32939</v>
          </cell>
        </row>
        <row r="3544">
          <cell r="P3544">
            <v>0</v>
          </cell>
          <cell r="S3544" t="str">
            <v xml:space="preserve">32939 </v>
          </cell>
          <cell r="AA3544">
            <v>32939</v>
          </cell>
        </row>
        <row r="3545">
          <cell r="P3545">
            <v>0</v>
          </cell>
          <cell r="S3545" t="str">
            <v xml:space="preserve">32939 </v>
          </cell>
          <cell r="AA3545">
            <v>32939</v>
          </cell>
        </row>
        <row r="3546">
          <cell r="P3546">
            <v>0</v>
          </cell>
          <cell r="S3546" t="str">
            <v xml:space="preserve">32939 </v>
          </cell>
          <cell r="AA3546">
            <v>32939</v>
          </cell>
        </row>
        <row r="3547">
          <cell r="P3547">
            <v>0</v>
          </cell>
          <cell r="S3547" t="str">
            <v xml:space="preserve">32939 </v>
          </cell>
          <cell r="AA3547">
            <v>32939</v>
          </cell>
        </row>
        <row r="3548">
          <cell r="P3548">
            <v>0</v>
          </cell>
          <cell r="S3548" t="str">
            <v xml:space="preserve">32939 </v>
          </cell>
          <cell r="AA3548">
            <v>32939</v>
          </cell>
        </row>
        <row r="3549">
          <cell r="P3549">
            <v>0</v>
          </cell>
          <cell r="S3549" t="str">
            <v xml:space="preserve">32939 </v>
          </cell>
          <cell r="AA3549">
            <v>32939</v>
          </cell>
        </row>
        <row r="3550">
          <cell r="P3550">
            <v>0</v>
          </cell>
          <cell r="S3550" t="str">
            <v xml:space="preserve">32939 </v>
          </cell>
          <cell r="AA3550">
            <v>32939</v>
          </cell>
        </row>
        <row r="3551">
          <cell r="P3551">
            <v>0</v>
          </cell>
          <cell r="S3551" t="str">
            <v xml:space="preserve">32939 </v>
          </cell>
          <cell r="AA3551">
            <v>32939</v>
          </cell>
        </row>
        <row r="3552">
          <cell r="P3552">
            <v>0</v>
          </cell>
          <cell r="S3552" t="str">
            <v xml:space="preserve">32939 </v>
          </cell>
          <cell r="AA3552">
            <v>32939</v>
          </cell>
        </row>
        <row r="3553">
          <cell r="P3553">
            <v>0</v>
          </cell>
          <cell r="S3553" t="str">
            <v xml:space="preserve">32939 </v>
          </cell>
          <cell r="AA3553">
            <v>32939</v>
          </cell>
        </row>
        <row r="3554">
          <cell r="P3554">
            <v>0</v>
          </cell>
          <cell r="S3554" t="str">
            <v xml:space="preserve">32939 </v>
          </cell>
          <cell r="AA3554">
            <v>32939</v>
          </cell>
        </row>
        <row r="3555">
          <cell r="P3555">
            <v>0</v>
          </cell>
          <cell r="S3555" t="str">
            <v xml:space="preserve">32939 </v>
          </cell>
          <cell r="AA3555">
            <v>32939</v>
          </cell>
        </row>
        <row r="3556">
          <cell r="P3556">
            <v>0</v>
          </cell>
          <cell r="S3556" t="str">
            <v xml:space="preserve">32939 </v>
          </cell>
          <cell r="AA3556">
            <v>32939</v>
          </cell>
        </row>
        <row r="3557">
          <cell r="P3557">
            <v>0</v>
          </cell>
          <cell r="S3557" t="str">
            <v xml:space="preserve">32939 </v>
          </cell>
          <cell r="AA3557">
            <v>32939</v>
          </cell>
        </row>
        <row r="3558">
          <cell r="P3558">
            <v>0</v>
          </cell>
          <cell r="S3558" t="str">
            <v xml:space="preserve">32939 </v>
          </cell>
          <cell r="AA3558">
            <v>32939</v>
          </cell>
        </row>
        <row r="3559">
          <cell r="P3559">
            <v>0</v>
          </cell>
          <cell r="S3559" t="str">
            <v xml:space="preserve">32939 </v>
          </cell>
          <cell r="AA3559">
            <v>32939</v>
          </cell>
        </row>
        <row r="3560">
          <cell r="P3560">
            <v>0</v>
          </cell>
          <cell r="S3560" t="str">
            <v xml:space="preserve">32939 </v>
          </cell>
          <cell r="AA3560">
            <v>32939</v>
          </cell>
        </row>
        <row r="3561">
          <cell r="P3561">
            <v>0</v>
          </cell>
          <cell r="S3561" t="str">
            <v xml:space="preserve">32939 </v>
          </cell>
          <cell r="AA3561">
            <v>32939</v>
          </cell>
        </row>
        <row r="3562">
          <cell r="P3562">
            <v>0</v>
          </cell>
          <cell r="S3562" t="str">
            <v xml:space="preserve">32939 </v>
          </cell>
          <cell r="AA3562">
            <v>32939</v>
          </cell>
        </row>
        <row r="3563">
          <cell r="P3563">
            <v>0</v>
          </cell>
          <cell r="S3563" t="str">
            <v xml:space="preserve">32939 </v>
          </cell>
          <cell r="AA3563">
            <v>32939</v>
          </cell>
        </row>
        <row r="3564">
          <cell r="P3564">
            <v>0</v>
          </cell>
          <cell r="S3564" t="str">
            <v xml:space="preserve">32939 </v>
          </cell>
          <cell r="AA3564">
            <v>32939</v>
          </cell>
        </row>
        <row r="3565">
          <cell r="P3565">
            <v>0</v>
          </cell>
          <cell r="S3565" t="str">
            <v xml:space="preserve">32939 </v>
          </cell>
          <cell r="AA3565">
            <v>32939</v>
          </cell>
        </row>
        <row r="3566">
          <cell r="P3566">
            <v>0</v>
          </cell>
          <cell r="S3566" t="str">
            <v xml:space="preserve">32939 </v>
          </cell>
          <cell r="AA3566">
            <v>32939</v>
          </cell>
        </row>
        <row r="3567">
          <cell r="P3567">
            <v>0</v>
          </cell>
          <cell r="S3567" t="str">
            <v xml:space="preserve">32939 </v>
          </cell>
          <cell r="AA3567">
            <v>32939</v>
          </cell>
        </row>
        <row r="3568">
          <cell r="P3568">
            <v>0</v>
          </cell>
          <cell r="S3568" t="str">
            <v xml:space="preserve">32939 </v>
          </cell>
          <cell r="AA3568">
            <v>32939</v>
          </cell>
        </row>
        <row r="3569">
          <cell r="P3569">
            <v>0</v>
          </cell>
          <cell r="S3569" t="str">
            <v xml:space="preserve">32939 </v>
          </cell>
          <cell r="AA3569">
            <v>32939</v>
          </cell>
        </row>
        <row r="3570">
          <cell r="P3570">
            <v>0</v>
          </cell>
          <cell r="S3570" t="str">
            <v xml:space="preserve">32939 </v>
          </cell>
          <cell r="AA3570">
            <v>32939</v>
          </cell>
        </row>
        <row r="3571">
          <cell r="P3571">
            <v>0</v>
          </cell>
          <cell r="S3571" t="str">
            <v xml:space="preserve">32939 </v>
          </cell>
          <cell r="AA3571">
            <v>32939</v>
          </cell>
        </row>
        <row r="3572">
          <cell r="P3572">
            <v>0</v>
          </cell>
          <cell r="S3572" t="str">
            <v xml:space="preserve">32939 </v>
          </cell>
          <cell r="AA3572">
            <v>32939</v>
          </cell>
        </row>
        <row r="3573">
          <cell r="P3573">
            <v>0</v>
          </cell>
          <cell r="S3573" t="str">
            <v xml:space="preserve">32939 </v>
          </cell>
          <cell r="AA3573">
            <v>32939</v>
          </cell>
        </row>
        <row r="3574">
          <cell r="P3574">
            <v>0</v>
          </cell>
          <cell r="S3574" t="str">
            <v xml:space="preserve">32939 </v>
          </cell>
          <cell r="AA3574">
            <v>32939</v>
          </cell>
        </row>
        <row r="3575">
          <cell r="P3575">
            <v>0</v>
          </cell>
          <cell r="S3575" t="str">
            <v xml:space="preserve">32939 </v>
          </cell>
          <cell r="AA3575">
            <v>32939</v>
          </cell>
        </row>
        <row r="3576">
          <cell r="P3576">
            <v>0</v>
          </cell>
          <cell r="S3576" t="str">
            <v xml:space="preserve">32939 </v>
          </cell>
          <cell r="AA3576">
            <v>32939</v>
          </cell>
        </row>
        <row r="3577">
          <cell r="P3577">
            <v>0</v>
          </cell>
          <cell r="S3577" t="str">
            <v xml:space="preserve">32939 </v>
          </cell>
          <cell r="AA3577">
            <v>32939</v>
          </cell>
        </row>
        <row r="3578">
          <cell r="P3578">
            <v>0</v>
          </cell>
          <cell r="S3578" t="str">
            <v xml:space="preserve">32939 </v>
          </cell>
          <cell r="AA3578">
            <v>32939</v>
          </cell>
        </row>
        <row r="3579">
          <cell r="P3579">
            <v>0</v>
          </cell>
          <cell r="S3579" t="str">
            <v xml:space="preserve">32939 </v>
          </cell>
          <cell r="AA3579">
            <v>32939</v>
          </cell>
        </row>
        <row r="3580">
          <cell r="P3580">
            <v>0</v>
          </cell>
          <cell r="S3580" t="str">
            <v xml:space="preserve">32939 </v>
          </cell>
          <cell r="AA3580">
            <v>32939</v>
          </cell>
        </row>
        <row r="3581">
          <cell r="P3581">
            <v>0</v>
          </cell>
          <cell r="S3581" t="str">
            <v xml:space="preserve">32939 </v>
          </cell>
          <cell r="AA3581">
            <v>32939</v>
          </cell>
        </row>
        <row r="3582">
          <cell r="P3582">
            <v>0</v>
          </cell>
          <cell r="S3582" t="str">
            <v xml:space="preserve">32939 </v>
          </cell>
          <cell r="AA3582">
            <v>32939</v>
          </cell>
        </row>
        <row r="3583">
          <cell r="P3583">
            <v>0</v>
          </cell>
          <cell r="S3583" t="str">
            <v xml:space="preserve">32939 </v>
          </cell>
          <cell r="AA3583">
            <v>32939</v>
          </cell>
        </row>
        <row r="3584">
          <cell r="P3584">
            <v>0</v>
          </cell>
          <cell r="S3584" t="str">
            <v xml:space="preserve">32939 </v>
          </cell>
          <cell r="AA3584">
            <v>32939</v>
          </cell>
        </row>
        <row r="3585">
          <cell r="P3585">
            <v>0</v>
          </cell>
          <cell r="S3585" t="str">
            <v xml:space="preserve">32939 </v>
          </cell>
          <cell r="AA3585">
            <v>32939</v>
          </cell>
        </row>
        <row r="3586">
          <cell r="P3586">
            <v>0</v>
          </cell>
          <cell r="S3586" t="str">
            <v xml:space="preserve">32939 </v>
          </cell>
          <cell r="AA3586">
            <v>32939</v>
          </cell>
        </row>
        <row r="3587">
          <cell r="P3587">
            <v>0</v>
          </cell>
          <cell r="S3587" t="str">
            <v xml:space="preserve">32939 </v>
          </cell>
          <cell r="AA3587">
            <v>32939</v>
          </cell>
        </row>
        <row r="3588">
          <cell r="P3588">
            <v>0</v>
          </cell>
          <cell r="S3588" t="str">
            <v xml:space="preserve">32939 </v>
          </cell>
          <cell r="AA3588">
            <v>32939</v>
          </cell>
        </row>
        <row r="3589">
          <cell r="P3589">
            <v>0</v>
          </cell>
          <cell r="S3589" t="str">
            <v xml:space="preserve">32939 </v>
          </cell>
          <cell r="AA3589">
            <v>32939</v>
          </cell>
        </row>
        <row r="3590">
          <cell r="P3590">
            <v>0</v>
          </cell>
          <cell r="S3590" t="str">
            <v xml:space="preserve">32939 </v>
          </cell>
          <cell r="AA3590">
            <v>32939</v>
          </cell>
        </row>
        <row r="3591">
          <cell r="P3591">
            <v>0</v>
          </cell>
          <cell r="S3591" t="str">
            <v xml:space="preserve">32939 </v>
          </cell>
          <cell r="AA3591">
            <v>32939</v>
          </cell>
        </row>
        <row r="3592">
          <cell r="P3592">
            <v>0</v>
          </cell>
          <cell r="S3592" t="str">
            <v xml:space="preserve">32939 </v>
          </cell>
          <cell r="AA3592">
            <v>32939</v>
          </cell>
        </row>
        <row r="3593">
          <cell r="P3593">
            <v>0</v>
          </cell>
          <cell r="S3593" t="str">
            <v xml:space="preserve">32939 </v>
          </cell>
          <cell r="AA3593">
            <v>32939</v>
          </cell>
        </row>
        <row r="3594">
          <cell r="P3594">
            <v>0</v>
          </cell>
          <cell r="S3594" t="str">
            <v xml:space="preserve">32939 </v>
          </cell>
          <cell r="AA3594">
            <v>32939</v>
          </cell>
        </row>
        <row r="3595">
          <cell r="P3595">
            <v>0</v>
          </cell>
          <cell r="S3595" t="str">
            <v xml:space="preserve">32939 </v>
          </cell>
          <cell r="AA3595">
            <v>32939</v>
          </cell>
        </row>
        <row r="3596">
          <cell r="P3596">
            <v>0</v>
          </cell>
          <cell r="S3596" t="str">
            <v xml:space="preserve">32939 </v>
          </cell>
          <cell r="AA3596">
            <v>32939</v>
          </cell>
        </row>
        <row r="3597">
          <cell r="P3597">
            <v>0</v>
          </cell>
          <cell r="S3597" t="str">
            <v xml:space="preserve">32939 </v>
          </cell>
          <cell r="AA3597">
            <v>32939</v>
          </cell>
        </row>
        <row r="3598">
          <cell r="P3598">
            <v>0</v>
          </cell>
          <cell r="S3598" t="str">
            <v xml:space="preserve">32939 </v>
          </cell>
          <cell r="AA3598">
            <v>32939</v>
          </cell>
        </row>
        <row r="3599">
          <cell r="P3599">
            <v>0</v>
          </cell>
          <cell r="S3599" t="str">
            <v xml:space="preserve">32939 </v>
          </cell>
          <cell r="AA3599">
            <v>32939</v>
          </cell>
        </row>
        <row r="3600">
          <cell r="P3600">
            <v>0</v>
          </cell>
          <cell r="S3600" t="str">
            <v xml:space="preserve">32939 </v>
          </cell>
          <cell r="AA3600">
            <v>32939</v>
          </cell>
        </row>
        <row r="3601">
          <cell r="P3601">
            <v>0</v>
          </cell>
          <cell r="S3601" t="str">
            <v xml:space="preserve">32939 </v>
          </cell>
          <cell r="AA3601">
            <v>32939</v>
          </cell>
        </row>
        <row r="3602">
          <cell r="P3602">
            <v>0</v>
          </cell>
          <cell r="S3602" t="str">
            <v xml:space="preserve">32939 </v>
          </cell>
          <cell r="AA3602">
            <v>32939</v>
          </cell>
        </row>
        <row r="3603">
          <cell r="P3603">
            <v>0</v>
          </cell>
          <cell r="S3603" t="str">
            <v xml:space="preserve">32939 </v>
          </cell>
          <cell r="AA3603">
            <v>32939</v>
          </cell>
        </row>
        <row r="3604">
          <cell r="P3604">
            <v>0</v>
          </cell>
          <cell r="S3604" t="str">
            <v xml:space="preserve">32939 </v>
          </cell>
          <cell r="AA3604">
            <v>32939</v>
          </cell>
        </row>
        <row r="3605">
          <cell r="P3605">
            <v>0</v>
          </cell>
          <cell r="S3605" t="str">
            <v xml:space="preserve">32939 </v>
          </cell>
          <cell r="AA3605">
            <v>32939</v>
          </cell>
        </row>
        <row r="3606">
          <cell r="P3606">
            <v>0</v>
          </cell>
          <cell r="S3606" t="str">
            <v xml:space="preserve">32939 </v>
          </cell>
          <cell r="AA3606">
            <v>32939</v>
          </cell>
        </row>
        <row r="3607">
          <cell r="P3607">
            <v>0</v>
          </cell>
          <cell r="S3607" t="str">
            <v xml:space="preserve">32939 </v>
          </cell>
          <cell r="AA3607">
            <v>32939</v>
          </cell>
        </row>
        <row r="3608">
          <cell r="P3608">
            <v>0</v>
          </cell>
          <cell r="S3608" t="str">
            <v xml:space="preserve">32939 </v>
          </cell>
          <cell r="AA3608">
            <v>32939</v>
          </cell>
        </row>
        <row r="3609">
          <cell r="P3609">
            <v>0</v>
          </cell>
          <cell r="S3609" t="str">
            <v xml:space="preserve">32939 </v>
          </cell>
          <cell r="AA3609">
            <v>32939</v>
          </cell>
        </row>
        <row r="3610">
          <cell r="P3610">
            <v>0</v>
          </cell>
          <cell r="S3610" t="str">
            <v xml:space="preserve">32939 </v>
          </cell>
          <cell r="AA3610">
            <v>32939</v>
          </cell>
        </row>
        <row r="3611">
          <cell r="P3611">
            <v>0</v>
          </cell>
          <cell r="S3611" t="str">
            <v xml:space="preserve">32939 </v>
          </cell>
          <cell r="AA3611">
            <v>32939</v>
          </cell>
        </row>
        <row r="3612">
          <cell r="P3612">
            <v>0</v>
          </cell>
          <cell r="S3612" t="str">
            <v xml:space="preserve">32939 </v>
          </cell>
          <cell r="AA3612">
            <v>32939</v>
          </cell>
        </row>
        <row r="3613">
          <cell r="P3613">
            <v>0</v>
          </cell>
          <cell r="S3613" t="str">
            <v xml:space="preserve">32939 </v>
          </cell>
          <cell r="AA3613">
            <v>32939</v>
          </cell>
        </row>
        <row r="3614">
          <cell r="P3614">
            <v>0</v>
          </cell>
          <cell r="S3614" t="str">
            <v xml:space="preserve">32939 </v>
          </cell>
          <cell r="AA3614">
            <v>32939</v>
          </cell>
        </row>
        <row r="3615">
          <cell r="P3615">
            <v>0</v>
          </cell>
          <cell r="S3615" t="str">
            <v xml:space="preserve">32939 </v>
          </cell>
          <cell r="AA3615">
            <v>32939</v>
          </cell>
        </row>
        <row r="3616">
          <cell r="P3616">
            <v>0</v>
          </cell>
          <cell r="S3616" t="str">
            <v xml:space="preserve">32939 </v>
          </cell>
          <cell r="AA3616">
            <v>32939</v>
          </cell>
        </row>
        <row r="3617">
          <cell r="P3617">
            <v>0</v>
          </cell>
          <cell r="S3617" t="str">
            <v xml:space="preserve">32939 </v>
          </cell>
          <cell r="AA3617">
            <v>32939</v>
          </cell>
        </row>
        <row r="3618">
          <cell r="P3618">
            <v>0</v>
          </cell>
          <cell r="S3618" t="str">
            <v xml:space="preserve">32939 </v>
          </cell>
          <cell r="AA3618">
            <v>32939</v>
          </cell>
        </row>
        <row r="3619">
          <cell r="P3619">
            <v>0</v>
          </cell>
          <cell r="S3619" t="str">
            <v xml:space="preserve">32939 </v>
          </cell>
          <cell r="AA3619">
            <v>32939</v>
          </cell>
        </row>
        <row r="3620">
          <cell r="P3620">
            <v>0</v>
          </cell>
          <cell r="S3620" t="str">
            <v xml:space="preserve">32939 </v>
          </cell>
          <cell r="AA3620">
            <v>32939</v>
          </cell>
        </row>
        <row r="3621">
          <cell r="P3621">
            <v>0</v>
          </cell>
          <cell r="S3621" t="str">
            <v xml:space="preserve">32939 </v>
          </cell>
          <cell r="AA3621">
            <v>32939</v>
          </cell>
        </row>
        <row r="3622">
          <cell r="P3622">
            <v>0</v>
          </cell>
          <cell r="S3622" t="str">
            <v xml:space="preserve">32939 </v>
          </cell>
          <cell r="AA3622">
            <v>32939</v>
          </cell>
        </row>
        <row r="3623">
          <cell r="P3623">
            <v>0</v>
          </cell>
          <cell r="S3623" t="str">
            <v xml:space="preserve">32939 </v>
          </cell>
          <cell r="AA3623">
            <v>32939</v>
          </cell>
        </row>
        <row r="3624">
          <cell r="P3624">
            <v>0</v>
          </cell>
          <cell r="S3624" t="str">
            <v xml:space="preserve">32939 </v>
          </cell>
          <cell r="AA3624">
            <v>32939</v>
          </cell>
        </row>
        <row r="3625">
          <cell r="P3625">
            <v>0</v>
          </cell>
          <cell r="S3625" t="str">
            <v xml:space="preserve">32939 </v>
          </cell>
          <cell r="AA3625">
            <v>32939</v>
          </cell>
        </row>
        <row r="3626">
          <cell r="P3626">
            <v>0</v>
          </cell>
          <cell r="S3626" t="str">
            <v xml:space="preserve">32939 </v>
          </cell>
          <cell r="AA3626">
            <v>32939</v>
          </cell>
        </row>
        <row r="3627">
          <cell r="P3627">
            <v>0</v>
          </cell>
          <cell r="S3627" t="str">
            <v xml:space="preserve">32939 </v>
          </cell>
          <cell r="AA3627">
            <v>32939</v>
          </cell>
        </row>
        <row r="3628">
          <cell r="P3628">
            <v>0</v>
          </cell>
          <cell r="S3628" t="str">
            <v xml:space="preserve">32939 </v>
          </cell>
          <cell r="AA3628">
            <v>32939</v>
          </cell>
        </row>
        <row r="3629">
          <cell r="P3629">
            <v>0</v>
          </cell>
          <cell r="S3629" t="str">
            <v xml:space="preserve">32939 </v>
          </cell>
          <cell r="AA3629">
            <v>32939</v>
          </cell>
        </row>
        <row r="3630">
          <cell r="P3630">
            <v>0</v>
          </cell>
          <cell r="S3630" t="str">
            <v xml:space="preserve">32939 </v>
          </cell>
          <cell r="AA3630">
            <v>32939</v>
          </cell>
        </row>
        <row r="3631">
          <cell r="P3631">
            <v>0</v>
          </cell>
          <cell r="S3631" t="str">
            <v xml:space="preserve">32939 </v>
          </cell>
          <cell r="AA3631">
            <v>32939</v>
          </cell>
        </row>
        <row r="3632">
          <cell r="P3632">
            <v>0</v>
          </cell>
          <cell r="S3632" t="str">
            <v xml:space="preserve">32939 </v>
          </cell>
          <cell r="AA3632">
            <v>32939</v>
          </cell>
        </row>
        <row r="3633">
          <cell r="P3633">
            <v>0</v>
          </cell>
          <cell r="S3633" t="str">
            <v xml:space="preserve">32939 </v>
          </cell>
          <cell r="AA3633">
            <v>32939</v>
          </cell>
        </row>
        <row r="3634">
          <cell r="P3634">
            <v>0</v>
          </cell>
          <cell r="S3634" t="str">
            <v xml:space="preserve">32939 </v>
          </cell>
          <cell r="AA3634">
            <v>32939</v>
          </cell>
        </row>
        <row r="3635">
          <cell r="P3635">
            <v>0</v>
          </cell>
          <cell r="S3635" t="str">
            <v xml:space="preserve">32939 </v>
          </cell>
          <cell r="AA3635">
            <v>32939</v>
          </cell>
        </row>
        <row r="3636">
          <cell r="P3636">
            <v>0</v>
          </cell>
          <cell r="S3636" t="str">
            <v xml:space="preserve">32939 </v>
          </cell>
          <cell r="AA3636">
            <v>32939</v>
          </cell>
        </row>
        <row r="3637">
          <cell r="P3637">
            <v>0</v>
          </cell>
          <cell r="S3637" t="str">
            <v xml:space="preserve">32939 </v>
          </cell>
          <cell r="AA3637">
            <v>32939</v>
          </cell>
        </row>
        <row r="3638">
          <cell r="P3638">
            <v>0</v>
          </cell>
          <cell r="S3638" t="str">
            <v xml:space="preserve">32939 </v>
          </cell>
          <cell r="AA3638">
            <v>32939</v>
          </cell>
        </row>
        <row r="3639">
          <cell r="P3639">
            <v>0</v>
          </cell>
          <cell r="S3639" t="str">
            <v xml:space="preserve">32939 </v>
          </cell>
          <cell r="AA3639">
            <v>32939</v>
          </cell>
        </row>
        <row r="3640">
          <cell r="P3640">
            <v>0</v>
          </cell>
          <cell r="S3640" t="str">
            <v xml:space="preserve">32939 </v>
          </cell>
          <cell r="AA3640">
            <v>32939</v>
          </cell>
        </row>
        <row r="3641">
          <cell r="P3641">
            <v>0</v>
          </cell>
          <cell r="S3641" t="str">
            <v xml:space="preserve">32939 </v>
          </cell>
          <cell r="AA3641">
            <v>32939</v>
          </cell>
        </row>
        <row r="3642">
          <cell r="P3642">
            <v>0</v>
          </cell>
          <cell r="S3642" t="str">
            <v xml:space="preserve">32939 </v>
          </cell>
          <cell r="AA3642">
            <v>32939</v>
          </cell>
        </row>
        <row r="3643">
          <cell r="P3643">
            <v>0</v>
          </cell>
          <cell r="S3643" t="str">
            <v xml:space="preserve">32939 </v>
          </cell>
          <cell r="AA3643">
            <v>32939</v>
          </cell>
        </row>
        <row r="3644">
          <cell r="P3644">
            <v>0</v>
          </cell>
          <cell r="S3644" t="str">
            <v xml:space="preserve">32939 </v>
          </cell>
          <cell r="AA3644">
            <v>32939</v>
          </cell>
        </row>
        <row r="3645">
          <cell r="P3645">
            <v>0</v>
          </cell>
          <cell r="S3645" t="str">
            <v xml:space="preserve">32939 </v>
          </cell>
          <cell r="AA3645">
            <v>32939</v>
          </cell>
        </row>
        <row r="3646">
          <cell r="P3646">
            <v>0</v>
          </cell>
          <cell r="S3646" t="str">
            <v xml:space="preserve">32939 </v>
          </cell>
          <cell r="AA3646">
            <v>32939</v>
          </cell>
        </row>
        <row r="3647">
          <cell r="P3647">
            <v>0</v>
          </cell>
          <cell r="S3647" t="str">
            <v xml:space="preserve">32939 </v>
          </cell>
          <cell r="AA3647">
            <v>32939</v>
          </cell>
        </row>
        <row r="3648">
          <cell r="P3648">
            <v>0</v>
          </cell>
          <cell r="S3648" t="str">
            <v xml:space="preserve">32939 </v>
          </cell>
          <cell r="AA3648">
            <v>32939</v>
          </cell>
        </row>
        <row r="3649">
          <cell r="P3649">
            <v>0</v>
          </cell>
          <cell r="S3649" t="str">
            <v xml:space="preserve">32939 </v>
          </cell>
          <cell r="AA3649">
            <v>32939</v>
          </cell>
        </row>
        <row r="3650">
          <cell r="P3650">
            <v>0</v>
          </cell>
          <cell r="S3650" t="str">
            <v xml:space="preserve">32939 </v>
          </cell>
          <cell r="AA3650">
            <v>32939</v>
          </cell>
        </row>
        <row r="3651">
          <cell r="P3651">
            <v>0</v>
          </cell>
          <cell r="S3651" t="str">
            <v xml:space="preserve">32939 </v>
          </cell>
          <cell r="AA3651">
            <v>32939</v>
          </cell>
        </row>
        <row r="3652">
          <cell r="P3652">
            <v>0</v>
          </cell>
          <cell r="S3652" t="str">
            <v xml:space="preserve">32939 </v>
          </cell>
          <cell r="AA3652">
            <v>32939</v>
          </cell>
        </row>
        <row r="3653">
          <cell r="P3653">
            <v>0</v>
          </cell>
          <cell r="S3653" t="str">
            <v xml:space="preserve">32939 </v>
          </cell>
          <cell r="AA3653">
            <v>32939</v>
          </cell>
        </row>
        <row r="3654">
          <cell r="P3654">
            <v>0</v>
          </cell>
          <cell r="S3654" t="str">
            <v xml:space="preserve">32939 </v>
          </cell>
          <cell r="AA3654">
            <v>32939</v>
          </cell>
        </row>
        <row r="3655">
          <cell r="P3655">
            <v>0</v>
          </cell>
          <cell r="S3655" t="str">
            <v xml:space="preserve">32939 </v>
          </cell>
          <cell r="AA3655">
            <v>32939</v>
          </cell>
        </row>
        <row r="3656">
          <cell r="P3656">
            <v>0</v>
          </cell>
          <cell r="S3656" t="str">
            <v xml:space="preserve">32939 </v>
          </cell>
          <cell r="AA3656">
            <v>32939</v>
          </cell>
        </row>
        <row r="3657">
          <cell r="P3657">
            <v>0</v>
          </cell>
          <cell r="S3657" t="str">
            <v xml:space="preserve">32939 </v>
          </cell>
          <cell r="AA3657">
            <v>32939</v>
          </cell>
        </row>
        <row r="3658">
          <cell r="P3658">
            <v>0</v>
          </cell>
          <cell r="S3658" t="str">
            <v xml:space="preserve">32939 </v>
          </cell>
          <cell r="AA3658">
            <v>32939</v>
          </cell>
        </row>
        <row r="3659">
          <cell r="P3659">
            <v>0</v>
          </cell>
          <cell r="S3659" t="str">
            <v xml:space="preserve">32939 </v>
          </cell>
          <cell r="AA3659">
            <v>32939</v>
          </cell>
        </row>
        <row r="3660">
          <cell r="P3660">
            <v>0</v>
          </cell>
          <cell r="S3660" t="str">
            <v xml:space="preserve">32939 </v>
          </cell>
          <cell r="AA3660">
            <v>32939</v>
          </cell>
        </row>
        <row r="3661">
          <cell r="P3661">
            <v>0</v>
          </cell>
          <cell r="S3661" t="str">
            <v xml:space="preserve">32939 </v>
          </cell>
          <cell r="AA3661">
            <v>32939</v>
          </cell>
        </row>
        <row r="3662">
          <cell r="P3662">
            <v>0</v>
          </cell>
          <cell r="S3662" t="str">
            <v xml:space="preserve">32939 </v>
          </cell>
          <cell r="AA3662">
            <v>32939</v>
          </cell>
        </row>
        <row r="3663">
          <cell r="P3663">
            <v>0</v>
          </cell>
          <cell r="S3663" t="str">
            <v xml:space="preserve">32939 </v>
          </cell>
          <cell r="AA3663">
            <v>32939</v>
          </cell>
        </row>
        <row r="3664">
          <cell r="P3664">
            <v>0</v>
          </cell>
          <cell r="S3664" t="str">
            <v xml:space="preserve">32939 </v>
          </cell>
          <cell r="AA3664">
            <v>32939</v>
          </cell>
        </row>
        <row r="3665">
          <cell r="P3665">
            <v>0</v>
          </cell>
          <cell r="S3665" t="str">
            <v xml:space="preserve">32939 </v>
          </cell>
          <cell r="AA3665">
            <v>32939</v>
          </cell>
        </row>
        <row r="3666">
          <cell r="P3666">
            <v>0</v>
          </cell>
          <cell r="S3666" t="str">
            <v xml:space="preserve">32939 </v>
          </cell>
          <cell r="AA3666">
            <v>32939</v>
          </cell>
        </row>
        <row r="3667">
          <cell r="P3667">
            <v>0</v>
          </cell>
          <cell r="S3667" t="str">
            <v xml:space="preserve">32939 </v>
          </cell>
          <cell r="AA3667">
            <v>32939</v>
          </cell>
        </row>
        <row r="3668">
          <cell r="P3668">
            <v>0</v>
          </cell>
          <cell r="S3668" t="str">
            <v xml:space="preserve">32939 </v>
          </cell>
          <cell r="AA3668">
            <v>32939</v>
          </cell>
        </row>
        <row r="3669">
          <cell r="P3669">
            <v>0</v>
          </cell>
          <cell r="S3669" t="str">
            <v xml:space="preserve">32939 </v>
          </cell>
          <cell r="AA3669">
            <v>32939</v>
          </cell>
        </row>
        <row r="3670">
          <cell r="P3670">
            <v>0</v>
          </cell>
          <cell r="S3670" t="str">
            <v xml:space="preserve">32939 </v>
          </cell>
          <cell r="AA3670">
            <v>32939</v>
          </cell>
        </row>
        <row r="3671">
          <cell r="P3671">
            <v>0</v>
          </cell>
          <cell r="S3671" t="str">
            <v xml:space="preserve">32939 </v>
          </cell>
          <cell r="AA3671">
            <v>32939</v>
          </cell>
        </row>
        <row r="3672">
          <cell r="P3672">
            <v>0</v>
          </cell>
          <cell r="S3672" t="str">
            <v xml:space="preserve">32939 </v>
          </cell>
          <cell r="AA3672">
            <v>32939</v>
          </cell>
        </row>
        <row r="3673">
          <cell r="P3673">
            <v>0</v>
          </cell>
          <cell r="S3673" t="str">
            <v xml:space="preserve">32939 </v>
          </cell>
          <cell r="AA3673">
            <v>32939</v>
          </cell>
        </row>
        <row r="3674">
          <cell r="P3674">
            <v>0</v>
          </cell>
          <cell r="S3674" t="str">
            <v xml:space="preserve">32939 </v>
          </cell>
          <cell r="AA3674">
            <v>32939</v>
          </cell>
        </row>
        <row r="3675">
          <cell r="P3675">
            <v>0</v>
          </cell>
          <cell r="S3675" t="str">
            <v xml:space="preserve">32939 </v>
          </cell>
          <cell r="AA3675">
            <v>32939</v>
          </cell>
        </row>
        <row r="3676">
          <cell r="P3676">
            <v>0</v>
          </cell>
          <cell r="S3676" t="str">
            <v xml:space="preserve">32939 </v>
          </cell>
          <cell r="AA3676">
            <v>32939</v>
          </cell>
        </row>
        <row r="3677">
          <cell r="P3677">
            <v>0</v>
          </cell>
          <cell r="S3677" t="str">
            <v xml:space="preserve">32939 </v>
          </cell>
          <cell r="AA3677">
            <v>32939</v>
          </cell>
        </row>
        <row r="3678">
          <cell r="P3678">
            <v>0</v>
          </cell>
          <cell r="S3678" t="str">
            <v xml:space="preserve">32939 </v>
          </cell>
          <cell r="AA3678">
            <v>32939</v>
          </cell>
        </row>
        <row r="3679">
          <cell r="P3679">
            <v>0</v>
          </cell>
          <cell r="S3679" t="str">
            <v xml:space="preserve">32939 </v>
          </cell>
          <cell r="AA3679">
            <v>32939</v>
          </cell>
        </row>
        <row r="3680">
          <cell r="P3680">
            <v>0</v>
          </cell>
          <cell r="S3680" t="str">
            <v xml:space="preserve">32939 </v>
          </cell>
          <cell r="AA3680">
            <v>32939</v>
          </cell>
        </row>
        <row r="3681">
          <cell r="P3681">
            <v>0</v>
          </cell>
          <cell r="S3681" t="str">
            <v xml:space="preserve">32939 </v>
          </cell>
          <cell r="AA3681">
            <v>32939</v>
          </cell>
        </row>
        <row r="3682">
          <cell r="P3682">
            <v>0</v>
          </cell>
          <cell r="S3682" t="str">
            <v xml:space="preserve">32939 </v>
          </cell>
          <cell r="AA3682">
            <v>32939</v>
          </cell>
        </row>
        <row r="3683">
          <cell r="P3683">
            <v>0</v>
          </cell>
          <cell r="S3683" t="str">
            <v xml:space="preserve">32939 </v>
          </cell>
          <cell r="AA3683">
            <v>32939</v>
          </cell>
        </row>
        <row r="3684">
          <cell r="P3684">
            <v>0</v>
          </cell>
          <cell r="S3684" t="str">
            <v xml:space="preserve">32939 </v>
          </cell>
          <cell r="AA3684">
            <v>32939</v>
          </cell>
        </row>
        <row r="3685">
          <cell r="P3685">
            <v>0</v>
          </cell>
          <cell r="S3685" t="str">
            <v xml:space="preserve">32939 </v>
          </cell>
          <cell r="AA3685">
            <v>32939</v>
          </cell>
        </row>
        <row r="3686">
          <cell r="P3686">
            <v>0</v>
          </cell>
          <cell r="S3686" t="str">
            <v xml:space="preserve">32939 </v>
          </cell>
          <cell r="AA3686">
            <v>32939</v>
          </cell>
        </row>
        <row r="3687">
          <cell r="P3687">
            <v>0</v>
          </cell>
          <cell r="S3687" t="str">
            <v xml:space="preserve">32939 </v>
          </cell>
          <cell r="AA3687">
            <v>32939</v>
          </cell>
        </row>
        <row r="3688">
          <cell r="P3688">
            <v>0</v>
          </cell>
          <cell r="S3688" t="str">
            <v xml:space="preserve">32939 </v>
          </cell>
          <cell r="AA3688">
            <v>32939</v>
          </cell>
        </row>
        <row r="3689">
          <cell r="P3689">
            <v>0</v>
          </cell>
          <cell r="S3689" t="str">
            <v xml:space="preserve">32939 </v>
          </cell>
          <cell r="AA3689">
            <v>32939</v>
          </cell>
        </row>
        <row r="3690">
          <cell r="P3690">
            <v>0</v>
          </cell>
          <cell r="S3690" t="str">
            <v xml:space="preserve">32939 </v>
          </cell>
          <cell r="AA3690">
            <v>32939</v>
          </cell>
        </row>
        <row r="3691">
          <cell r="P3691">
            <v>0</v>
          </cell>
          <cell r="S3691" t="str">
            <v xml:space="preserve">32939 </v>
          </cell>
          <cell r="AA3691">
            <v>32939</v>
          </cell>
        </row>
        <row r="3692">
          <cell r="P3692">
            <v>0</v>
          </cell>
          <cell r="S3692" t="str">
            <v xml:space="preserve">32939 </v>
          </cell>
          <cell r="AA3692">
            <v>32939</v>
          </cell>
        </row>
        <row r="3693">
          <cell r="P3693">
            <v>0</v>
          </cell>
          <cell r="S3693" t="str">
            <v xml:space="preserve">32939 </v>
          </cell>
          <cell r="AA3693">
            <v>32939</v>
          </cell>
        </row>
        <row r="3694">
          <cell r="P3694">
            <v>0</v>
          </cell>
          <cell r="S3694" t="str">
            <v xml:space="preserve">32939 </v>
          </cell>
          <cell r="AA3694">
            <v>32939</v>
          </cell>
        </row>
        <row r="3695">
          <cell r="P3695">
            <v>0</v>
          </cell>
          <cell r="S3695" t="str">
            <v xml:space="preserve">32939 </v>
          </cell>
          <cell r="AA3695">
            <v>32939</v>
          </cell>
        </row>
        <row r="3696">
          <cell r="P3696">
            <v>0</v>
          </cell>
          <cell r="S3696" t="str">
            <v xml:space="preserve">32939 </v>
          </cell>
          <cell r="AA3696">
            <v>32939</v>
          </cell>
        </row>
        <row r="3697">
          <cell r="P3697">
            <v>0</v>
          </cell>
          <cell r="S3697" t="str">
            <v xml:space="preserve">32939 </v>
          </cell>
          <cell r="AA3697">
            <v>32939</v>
          </cell>
        </row>
        <row r="3698">
          <cell r="P3698">
            <v>0</v>
          </cell>
          <cell r="S3698" t="str">
            <v xml:space="preserve">32939 </v>
          </cell>
          <cell r="AA3698">
            <v>32939</v>
          </cell>
        </row>
        <row r="3699">
          <cell r="P3699">
            <v>0</v>
          </cell>
          <cell r="S3699" t="str">
            <v xml:space="preserve">32939 </v>
          </cell>
          <cell r="AA3699">
            <v>32939</v>
          </cell>
        </row>
        <row r="3700">
          <cell r="P3700">
            <v>0</v>
          </cell>
          <cell r="S3700" t="str">
            <v xml:space="preserve">32939 </v>
          </cell>
          <cell r="AA3700">
            <v>32939</v>
          </cell>
        </row>
        <row r="3701">
          <cell r="P3701">
            <v>0</v>
          </cell>
          <cell r="S3701" t="str">
            <v xml:space="preserve">32939 </v>
          </cell>
          <cell r="AA3701">
            <v>32939</v>
          </cell>
        </row>
        <row r="3702">
          <cell r="P3702">
            <v>0</v>
          </cell>
          <cell r="S3702" t="str">
            <v xml:space="preserve">32939 </v>
          </cell>
          <cell r="AA3702">
            <v>32939</v>
          </cell>
        </row>
        <row r="3703">
          <cell r="P3703">
            <v>0</v>
          </cell>
          <cell r="S3703" t="str">
            <v xml:space="preserve">32939 </v>
          </cell>
          <cell r="AA3703">
            <v>32939</v>
          </cell>
        </row>
        <row r="3704">
          <cell r="P3704">
            <v>0</v>
          </cell>
          <cell r="S3704" t="str">
            <v xml:space="preserve">32939 </v>
          </cell>
          <cell r="AA3704">
            <v>32939</v>
          </cell>
        </row>
        <row r="3705">
          <cell r="P3705">
            <v>0</v>
          </cell>
          <cell r="S3705" t="str">
            <v xml:space="preserve">32939 </v>
          </cell>
          <cell r="AA3705">
            <v>32939</v>
          </cell>
        </row>
        <row r="3706">
          <cell r="P3706">
            <v>0</v>
          </cell>
          <cell r="S3706" t="str">
            <v xml:space="preserve">32939 </v>
          </cell>
          <cell r="AA3706">
            <v>32939</v>
          </cell>
        </row>
        <row r="3707">
          <cell r="P3707">
            <v>0</v>
          </cell>
          <cell r="S3707" t="str">
            <v xml:space="preserve">32939 </v>
          </cell>
          <cell r="AA3707">
            <v>32939</v>
          </cell>
        </row>
        <row r="3708">
          <cell r="P3708">
            <v>0</v>
          </cell>
          <cell r="S3708" t="str">
            <v xml:space="preserve">32939 </v>
          </cell>
          <cell r="AA3708">
            <v>32939</v>
          </cell>
        </row>
        <row r="3709">
          <cell r="P3709">
            <v>0</v>
          </cell>
          <cell r="S3709" t="str">
            <v xml:space="preserve">32939 </v>
          </cell>
          <cell r="AA3709">
            <v>32939</v>
          </cell>
        </row>
        <row r="3710">
          <cell r="P3710">
            <v>0</v>
          </cell>
          <cell r="S3710" t="str">
            <v xml:space="preserve">32939 </v>
          </cell>
          <cell r="AA3710">
            <v>32939</v>
          </cell>
        </row>
        <row r="3711">
          <cell r="P3711">
            <v>0</v>
          </cell>
          <cell r="S3711" t="str">
            <v xml:space="preserve">32939 </v>
          </cell>
          <cell r="AA3711">
            <v>32939</v>
          </cell>
        </row>
        <row r="3712">
          <cell r="P3712">
            <v>0</v>
          </cell>
          <cell r="S3712" t="str">
            <v xml:space="preserve">32939 </v>
          </cell>
          <cell r="AA3712">
            <v>32939</v>
          </cell>
        </row>
        <row r="3713">
          <cell r="P3713">
            <v>0</v>
          </cell>
          <cell r="S3713" t="str">
            <v xml:space="preserve">32939 </v>
          </cell>
          <cell r="AA3713">
            <v>32939</v>
          </cell>
        </row>
        <row r="3714">
          <cell r="P3714">
            <v>0</v>
          </cell>
          <cell r="S3714" t="str">
            <v xml:space="preserve">32939 </v>
          </cell>
          <cell r="AA3714">
            <v>32939</v>
          </cell>
        </row>
        <row r="3715">
          <cell r="P3715">
            <v>0</v>
          </cell>
          <cell r="S3715" t="str">
            <v xml:space="preserve">32939 </v>
          </cell>
          <cell r="AA3715">
            <v>32939</v>
          </cell>
        </row>
        <row r="3716">
          <cell r="P3716">
            <v>0</v>
          </cell>
          <cell r="S3716" t="str">
            <v xml:space="preserve">32939 </v>
          </cell>
          <cell r="AA3716">
            <v>32939</v>
          </cell>
        </row>
        <row r="3717">
          <cell r="P3717">
            <v>0</v>
          </cell>
          <cell r="S3717" t="str">
            <v xml:space="preserve">32939 </v>
          </cell>
          <cell r="AA3717">
            <v>32939</v>
          </cell>
        </row>
        <row r="3718">
          <cell r="P3718">
            <v>0</v>
          </cell>
          <cell r="S3718" t="str">
            <v xml:space="preserve">32939 </v>
          </cell>
          <cell r="AA3718">
            <v>32939</v>
          </cell>
        </row>
        <row r="3719">
          <cell r="P3719">
            <v>0</v>
          </cell>
          <cell r="S3719" t="str">
            <v xml:space="preserve">32939 </v>
          </cell>
          <cell r="AA3719">
            <v>32939</v>
          </cell>
        </row>
        <row r="3720">
          <cell r="P3720">
            <v>0</v>
          </cell>
          <cell r="S3720" t="str">
            <v xml:space="preserve">32939 </v>
          </cell>
          <cell r="AA3720">
            <v>32939</v>
          </cell>
        </row>
        <row r="3721">
          <cell r="P3721">
            <v>0</v>
          </cell>
          <cell r="S3721" t="str">
            <v xml:space="preserve">32939 </v>
          </cell>
          <cell r="AA3721">
            <v>32939</v>
          </cell>
        </row>
        <row r="3722">
          <cell r="P3722">
            <v>0</v>
          </cell>
          <cell r="S3722" t="str">
            <v xml:space="preserve">32939 </v>
          </cell>
          <cell r="AA3722">
            <v>32939</v>
          </cell>
        </row>
        <row r="3723">
          <cell r="P3723">
            <v>0</v>
          </cell>
          <cell r="S3723" t="str">
            <v xml:space="preserve">32939 </v>
          </cell>
          <cell r="AA3723">
            <v>32939</v>
          </cell>
        </row>
        <row r="3724">
          <cell r="P3724">
            <v>0</v>
          </cell>
          <cell r="S3724" t="str">
            <v xml:space="preserve">32939 </v>
          </cell>
          <cell r="AA3724">
            <v>32939</v>
          </cell>
        </row>
        <row r="3725">
          <cell r="P3725">
            <v>0</v>
          </cell>
          <cell r="S3725" t="str">
            <v xml:space="preserve">32939 </v>
          </cell>
          <cell r="AA3725">
            <v>32939</v>
          </cell>
        </row>
        <row r="3726">
          <cell r="P3726">
            <v>0</v>
          </cell>
          <cell r="S3726" t="str">
            <v xml:space="preserve">32939 </v>
          </cell>
          <cell r="AA3726">
            <v>32939</v>
          </cell>
        </row>
        <row r="3727">
          <cell r="P3727">
            <v>0</v>
          </cell>
          <cell r="S3727" t="str">
            <v xml:space="preserve">32939 </v>
          </cell>
          <cell r="AA3727">
            <v>32939</v>
          </cell>
        </row>
        <row r="3728">
          <cell r="P3728">
            <v>0</v>
          </cell>
          <cell r="S3728" t="str">
            <v xml:space="preserve">32939 </v>
          </cell>
          <cell r="AA3728">
            <v>32939</v>
          </cell>
        </row>
        <row r="3729">
          <cell r="P3729">
            <v>0</v>
          </cell>
          <cell r="S3729" t="str">
            <v xml:space="preserve">32939 </v>
          </cell>
          <cell r="AA3729">
            <v>32939</v>
          </cell>
        </row>
        <row r="3730">
          <cell r="P3730">
            <v>0</v>
          </cell>
          <cell r="S3730" t="str">
            <v xml:space="preserve">32939 </v>
          </cell>
          <cell r="AA3730">
            <v>32939</v>
          </cell>
        </row>
        <row r="3731">
          <cell r="P3731">
            <v>0</v>
          </cell>
          <cell r="S3731" t="str">
            <v xml:space="preserve">32939 </v>
          </cell>
          <cell r="AA3731">
            <v>32939</v>
          </cell>
        </row>
        <row r="3732">
          <cell r="P3732">
            <v>0</v>
          </cell>
          <cell r="S3732" t="str">
            <v xml:space="preserve">32939 </v>
          </cell>
          <cell r="AA3732">
            <v>32939</v>
          </cell>
        </row>
        <row r="3733">
          <cell r="P3733">
            <v>0</v>
          </cell>
          <cell r="S3733" t="str">
            <v xml:space="preserve">32939 </v>
          </cell>
          <cell r="AA3733">
            <v>32939</v>
          </cell>
        </row>
        <row r="3734">
          <cell r="P3734">
            <v>0</v>
          </cell>
          <cell r="S3734" t="str">
            <v xml:space="preserve">32939 </v>
          </cell>
          <cell r="AA3734">
            <v>32939</v>
          </cell>
        </row>
        <row r="3735">
          <cell r="P3735">
            <v>0</v>
          </cell>
          <cell r="S3735" t="str">
            <v xml:space="preserve">32939 </v>
          </cell>
          <cell r="AA3735">
            <v>32939</v>
          </cell>
        </row>
        <row r="3736">
          <cell r="P3736">
            <v>0</v>
          </cell>
          <cell r="S3736" t="str">
            <v xml:space="preserve">32939 </v>
          </cell>
          <cell r="AA3736">
            <v>32939</v>
          </cell>
        </row>
        <row r="3737">
          <cell r="P3737">
            <v>0</v>
          </cell>
          <cell r="S3737" t="str">
            <v xml:space="preserve">32939 </v>
          </cell>
          <cell r="AA3737">
            <v>32939</v>
          </cell>
        </row>
        <row r="3738">
          <cell r="P3738">
            <v>0</v>
          </cell>
          <cell r="S3738" t="str">
            <v xml:space="preserve">32939 </v>
          </cell>
          <cell r="AA3738">
            <v>32939</v>
          </cell>
        </row>
        <row r="3739">
          <cell r="P3739">
            <v>0</v>
          </cell>
          <cell r="S3739" t="str">
            <v xml:space="preserve">32939 </v>
          </cell>
          <cell r="AA3739">
            <v>32939</v>
          </cell>
        </row>
        <row r="3740">
          <cell r="P3740">
            <v>0</v>
          </cell>
          <cell r="S3740" t="str">
            <v xml:space="preserve">32939 </v>
          </cell>
          <cell r="AA3740">
            <v>32939</v>
          </cell>
        </row>
        <row r="3741">
          <cell r="P3741">
            <v>0</v>
          </cell>
          <cell r="S3741" t="str">
            <v xml:space="preserve">32939 </v>
          </cell>
          <cell r="AA3741">
            <v>32939</v>
          </cell>
        </row>
        <row r="3742">
          <cell r="P3742">
            <v>0</v>
          </cell>
          <cell r="S3742" t="str">
            <v xml:space="preserve">32939 </v>
          </cell>
          <cell r="AA3742">
            <v>32939</v>
          </cell>
        </row>
        <row r="3743">
          <cell r="P3743">
            <v>0</v>
          </cell>
          <cell r="S3743" t="str">
            <v xml:space="preserve">32939 </v>
          </cell>
          <cell r="AA3743">
            <v>32939</v>
          </cell>
        </row>
        <row r="3744">
          <cell r="P3744">
            <v>0</v>
          </cell>
          <cell r="S3744" t="str">
            <v xml:space="preserve">32939 </v>
          </cell>
          <cell r="AA3744">
            <v>32939</v>
          </cell>
        </row>
        <row r="3745">
          <cell r="P3745">
            <v>0</v>
          </cell>
          <cell r="S3745" t="str">
            <v xml:space="preserve">32939 </v>
          </cell>
          <cell r="AA3745">
            <v>32939</v>
          </cell>
        </row>
        <row r="3746">
          <cell r="P3746">
            <v>0</v>
          </cell>
          <cell r="S3746" t="str">
            <v xml:space="preserve">32939 </v>
          </cell>
          <cell r="AA3746">
            <v>32939</v>
          </cell>
        </row>
        <row r="3747">
          <cell r="P3747">
            <v>0</v>
          </cell>
          <cell r="S3747" t="str">
            <v xml:space="preserve">32939 </v>
          </cell>
          <cell r="AA3747">
            <v>32939</v>
          </cell>
        </row>
        <row r="3748">
          <cell r="P3748">
            <v>0</v>
          </cell>
          <cell r="S3748" t="str">
            <v xml:space="preserve">32939 </v>
          </cell>
          <cell r="AA3748">
            <v>32939</v>
          </cell>
        </row>
        <row r="3749">
          <cell r="P3749">
            <v>0</v>
          </cell>
          <cell r="S3749" t="str">
            <v xml:space="preserve">32939 </v>
          </cell>
          <cell r="AA3749">
            <v>32939</v>
          </cell>
        </row>
        <row r="3750">
          <cell r="P3750">
            <v>0</v>
          </cell>
          <cell r="S3750" t="str">
            <v xml:space="preserve">32939 </v>
          </cell>
          <cell r="AA3750">
            <v>32939</v>
          </cell>
        </row>
        <row r="3751">
          <cell r="P3751">
            <v>0</v>
          </cell>
          <cell r="S3751" t="str">
            <v xml:space="preserve">32939 </v>
          </cell>
          <cell r="AA3751">
            <v>32939</v>
          </cell>
        </row>
        <row r="3752">
          <cell r="P3752">
            <v>0</v>
          </cell>
          <cell r="S3752" t="str">
            <v xml:space="preserve">32939 </v>
          </cell>
          <cell r="AA3752">
            <v>32939</v>
          </cell>
        </row>
        <row r="3753">
          <cell r="P3753">
            <v>0</v>
          </cell>
          <cell r="S3753" t="str">
            <v xml:space="preserve">32939 </v>
          </cell>
          <cell r="AA3753">
            <v>32939</v>
          </cell>
        </row>
        <row r="3754">
          <cell r="P3754">
            <v>0</v>
          </cell>
          <cell r="S3754" t="str">
            <v xml:space="preserve">32939 </v>
          </cell>
          <cell r="AA3754">
            <v>32939</v>
          </cell>
        </row>
        <row r="3755">
          <cell r="P3755">
            <v>0</v>
          </cell>
          <cell r="S3755" t="str">
            <v xml:space="preserve">32939 </v>
          </cell>
          <cell r="AA3755">
            <v>32939</v>
          </cell>
        </row>
        <row r="3756">
          <cell r="P3756">
            <v>0</v>
          </cell>
          <cell r="S3756" t="str">
            <v xml:space="preserve">32939 </v>
          </cell>
          <cell r="AA3756">
            <v>32939</v>
          </cell>
        </row>
        <row r="3757">
          <cell r="P3757">
            <v>0</v>
          </cell>
          <cell r="S3757" t="str">
            <v xml:space="preserve">32939 </v>
          </cell>
          <cell r="AA3757">
            <v>32939</v>
          </cell>
        </row>
        <row r="3758">
          <cell r="P3758">
            <v>0</v>
          </cell>
          <cell r="S3758" t="str">
            <v xml:space="preserve">32939 </v>
          </cell>
          <cell r="AA3758">
            <v>32939</v>
          </cell>
        </row>
        <row r="3759">
          <cell r="P3759">
            <v>0</v>
          </cell>
          <cell r="S3759" t="str">
            <v xml:space="preserve">32939 </v>
          </cell>
          <cell r="AA3759">
            <v>32939</v>
          </cell>
        </row>
        <row r="3760">
          <cell r="P3760">
            <v>0</v>
          </cell>
          <cell r="S3760" t="str">
            <v xml:space="preserve">32939 </v>
          </cell>
          <cell r="AA3760">
            <v>32939</v>
          </cell>
        </row>
        <row r="3761">
          <cell r="P3761">
            <v>0</v>
          </cell>
          <cell r="S3761" t="str">
            <v xml:space="preserve">32939 </v>
          </cell>
          <cell r="AA3761">
            <v>32939</v>
          </cell>
        </row>
        <row r="3762">
          <cell r="P3762">
            <v>0</v>
          </cell>
          <cell r="S3762" t="str">
            <v xml:space="preserve">32939 </v>
          </cell>
          <cell r="AA3762">
            <v>32939</v>
          </cell>
        </row>
        <row r="3763">
          <cell r="P3763">
            <v>0</v>
          </cell>
          <cell r="S3763" t="str">
            <v xml:space="preserve">32939 </v>
          </cell>
          <cell r="AA3763">
            <v>32939</v>
          </cell>
        </row>
        <row r="3764">
          <cell r="P3764">
            <v>0</v>
          </cell>
          <cell r="S3764" t="str">
            <v xml:space="preserve">32939 </v>
          </cell>
          <cell r="AA3764">
            <v>32939</v>
          </cell>
        </row>
        <row r="3765">
          <cell r="P3765">
            <v>0</v>
          </cell>
          <cell r="S3765" t="str">
            <v xml:space="preserve">32939 </v>
          </cell>
          <cell r="AA3765">
            <v>32939</v>
          </cell>
        </row>
        <row r="3766">
          <cell r="P3766">
            <v>0</v>
          </cell>
          <cell r="S3766" t="str">
            <v xml:space="preserve">32939 </v>
          </cell>
          <cell r="AA3766">
            <v>32939</v>
          </cell>
        </row>
        <row r="3767">
          <cell r="P3767">
            <v>0</v>
          </cell>
          <cell r="S3767" t="str">
            <v xml:space="preserve">32939 </v>
          </cell>
          <cell r="AA3767">
            <v>32939</v>
          </cell>
        </row>
        <row r="3768">
          <cell r="P3768">
            <v>0</v>
          </cell>
          <cell r="S3768" t="str">
            <v xml:space="preserve">32939 </v>
          </cell>
          <cell r="AA3768">
            <v>32939</v>
          </cell>
        </row>
        <row r="3769">
          <cell r="P3769">
            <v>0</v>
          </cell>
          <cell r="S3769" t="str">
            <v xml:space="preserve">32939 </v>
          </cell>
          <cell r="AA3769">
            <v>32939</v>
          </cell>
        </row>
        <row r="3770">
          <cell r="P3770">
            <v>0</v>
          </cell>
          <cell r="S3770" t="str">
            <v xml:space="preserve">32939 </v>
          </cell>
          <cell r="AA3770">
            <v>32939</v>
          </cell>
        </row>
        <row r="3771">
          <cell r="P3771">
            <v>0</v>
          </cell>
          <cell r="S3771" t="str">
            <v xml:space="preserve">32939 </v>
          </cell>
          <cell r="AA3771">
            <v>32939</v>
          </cell>
        </row>
        <row r="3772">
          <cell r="P3772">
            <v>0</v>
          </cell>
          <cell r="S3772" t="str">
            <v xml:space="preserve">32939 </v>
          </cell>
          <cell r="AA3772">
            <v>32939</v>
          </cell>
        </row>
        <row r="3773">
          <cell r="P3773">
            <v>0</v>
          </cell>
          <cell r="S3773" t="str">
            <v xml:space="preserve">32939 </v>
          </cell>
          <cell r="AA3773">
            <v>32939</v>
          </cell>
        </row>
        <row r="3774">
          <cell r="P3774">
            <v>0</v>
          </cell>
          <cell r="S3774" t="str">
            <v xml:space="preserve">32939 </v>
          </cell>
          <cell r="AA3774">
            <v>32939</v>
          </cell>
        </row>
        <row r="3775">
          <cell r="P3775">
            <v>0</v>
          </cell>
          <cell r="S3775" t="str">
            <v xml:space="preserve">32939 </v>
          </cell>
          <cell r="AA3775">
            <v>32939</v>
          </cell>
        </row>
        <row r="3776">
          <cell r="P3776">
            <v>0</v>
          </cell>
          <cell r="S3776" t="str">
            <v xml:space="preserve">32939 </v>
          </cell>
          <cell r="AA3776">
            <v>32939</v>
          </cell>
        </row>
        <row r="3777">
          <cell r="P3777">
            <v>0</v>
          </cell>
          <cell r="S3777" t="str">
            <v xml:space="preserve">32939 </v>
          </cell>
          <cell r="AA3777">
            <v>32939</v>
          </cell>
        </row>
        <row r="3778">
          <cell r="P3778">
            <v>0</v>
          </cell>
          <cell r="S3778" t="str">
            <v xml:space="preserve">32939 </v>
          </cell>
          <cell r="AA3778">
            <v>32939</v>
          </cell>
        </row>
        <row r="3779">
          <cell r="P3779">
            <v>0</v>
          </cell>
          <cell r="S3779" t="str">
            <v xml:space="preserve">32939 </v>
          </cell>
          <cell r="AA3779">
            <v>32939</v>
          </cell>
        </row>
        <row r="3780">
          <cell r="P3780">
            <v>0</v>
          </cell>
          <cell r="S3780" t="str">
            <v xml:space="preserve">32939 </v>
          </cell>
          <cell r="AA3780">
            <v>32939</v>
          </cell>
        </row>
        <row r="3781">
          <cell r="P3781">
            <v>0</v>
          </cell>
          <cell r="S3781" t="str">
            <v xml:space="preserve">32939 </v>
          </cell>
          <cell r="AA3781">
            <v>32939</v>
          </cell>
        </row>
        <row r="3782">
          <cell r="P3782">
            <v>0</v>
          </cell>
          <cell r="S3782" t="str">
            <v xml:space="preserve">32939 </v>
          </cell>
          <cell r="AA3782">
            <v>32939</v>
          </cell>
        </row>
        <row r="3783">
          <cell r="P3783">
            <v>0</v>
          </cell>
          <cell r="S3783" t="str">
            <v xml:space="preserve">32939 </v>
          </cell>
          <cell r="AA3783">
            <v>32939</v>
          </cell>
        </row>
        <row r="3784">
          <cell r="P3784">
            <v>0</v>
          </cell>
          <cell r="S3784" t="str">
            <v xml:space="preserve">32939 </v>
          </cell>
          <cell r="AA3784">
            <v>32939</v>
          </cell>
        </row>
        <row r="3785">
          <cell r="P3785">
            <v>0</v>
          </cell>
          <cell r="S3785" t="str">
            <v xml:space="preserve">32939 </v>
          </cell>
          <cell r="AA3785">
            <v>32939</v>
          </cell>
        </row>
        <row r="3786">
          <cell r="P3786">
            <v>0</v>
          </cell>
          <cell r="S3786" t="str">
            <v xml:space="preserve">32939 </v>
          </cell>
          <cell r="AA3786">
            <v>32939</v>
          </cell>
        </row>
        <row r="3787">
          <cell r="P3787">
            <v>0</v>
          </cell>
          <cell r="S3787" t="str">
            <v xml:space="preserve">32939 </v>
          </cell>
          <cell r="AA3787">
            <v>32939</v>
          </cell>
        </row>
        <row r="3788">
          <cell r="P3788">
            <v>0</v>
          </cell>
          <cell r="S3788" t="str">
            <v xml:space="preserve">32939 </v>
          </cell>
          <cell r="AA3788">
            <v>32939</v>
          </cell>
        </row>
        <row r="3789">
          <cell r="P3789">
            <v>0</v>
          </cell>
          <cell r="S3789" t="str">
            <v xml:space="preserve">32939 </v>
          </cell>
          <cell r="AA3789">
            <v>32939</v>
          </cell>
        </row>
        <row r="3790">
          <cell r="P3790">
            <v>0</v>
          </cell>
          <cell r="S3790" t="str">
            <v xml:space="preserve">32939 </v>
          </cell>
          <cell r="AA3790">
            <v>32939</v>
          </cell>
        </row>
        <row r="3791">
          <cell r="P3791">
            <v>0</v>
          </cell>
          <cell r="S3791" t="str">
            <v xml:space="preserve">32939 </v>
          </cell>
          <cell r="AA3791">
            <v>32939</v>
          </cell>
        </row>
        <row r="3792">
          <cell r="P3792">
            <v>0</v>
          </cell>
          <cell r="S3792" t="str">
            <v xml:space="preserve">32939 </v>
          </cell>
          <cell r="AA3792">
            <v>32939</v>
          </cell>
        </row>
        <row r="3793">
          <cell r="P3793">
            <v>0</v>
          </cell>
          <cell r="S3793" t="str">
            <v xml:space="preserve">32939 </v>
          </cell>
          <cell r="AA3793">
            <v>32939</v>
          </cell>
        </row>
        <row r="3794">
          <cell r="P3794">
            <v>0</v>
          </cell>
          <cell r="S3794" t="str">
            <v xml:space="preserve">32939 </v>
          </cell>
          <cell r="AA3794">
            <v>32939</v>
          </cell>
        </row>
        <row r="3795">
          <cell r="P3795">
            <v>0</v>
          </cell>
          <cell r="S3795" t="str">
            <v xml:space="preserve">32939 </v>
          </cell>
          <cell r="AA3795">
            <v>32939</v>
          </cell>
        </row>
        <row r="3796">
          <cell r="P3796">
            <v>0</v>
          </cell>
          <cell r="S3796" t="str">
            <v xml:space="preserve">32939 </v>
          </cell>
          <cell r="AA3796">
            <v>32939</v>
          </cell>
        </row>
        <row r="3797">
          <cell r="P3797">
            <v>0</v>
          </cell>
          <cell r="S3797" t="str">
            <v xml:space="preserve">32939 </v>
          </cell>
          <cell r="AA3797">
            <v>32939</v>
          </cell>
        </row>
        <row r="3798">
          <cell r="P3798">
            <v>0</v>
          </cell>
          <cell r="S3798" t="str">
            <v xml:space="preserve">32939 </v>
          </cell>
          <cell r="AA3798">
            <v>32939</v>
          </cell>
        </row>
        <row r="3799">
          <cell r="P3799">
            <v>0</v>
          </cell>
          <cell r="S3799" t="str">
            <v xml:space="preserve">32939 </v>
          </cell>
          <cell r="AA3799">
            <v>32939</v>
          </cell>
        </row>
        <row r="3800">
          <cell r="P3800">
            <v>0</v>
          </cell>
          <cell r="S3800" t="str">
            <v xml:space="preserve">32939 </v>
          </cell>
          <cell r="AA3800">
            <v>32939</v>
          </cell>
        </row>
        <row r="3801">
          <cell r="P3801">
            <v>0</v>
          </cell>
          <cell r="S3801" t="str">
            <v xml:space="preserve">32939 </v>
          </cell>
          <cell r="AA3801">
            <v>32939</v>
          </cell>
        </row>
        <row r="3802">
          <cell r="P3802">
            <v>0</v>
          </cell>
          <cell r="S3802" t="str">
            <v xml:space="preserve">32939 </v>
          </cell>
          <cell r="AA3802">
            <v>32939</v>
          </cell>
        </row>
        <row r="3803">
          <cell r="P3803">
            <v>0</v>
          </cell>
          <cell r="S3803" t="str">
            <v xml:space="preserve">32939 </v>
          </cell>
          <cell r="AA3803">
            <v>32939</v>
          </cell>
        </row>
        <row r="3804">
          <cell r="P3804">
            <v>0</v>
          </cell>
          <cell r="S3804" t="str">
            <v xml:space="preserve">32939 </v>
          </cell>
          <cell r="AA3804">
            <v>32939</v>
          </cell>
        </row>
        <row r="3805">
          <cell r="P3805">
            <v>0</v>
          </cell>
          <cell r="S3805" t="str">
            <v xml:space="preserve">32939 </v>
          </cell>
          <cell r="AA3805">
            <v>32939</v>
          </cell>
        </row>
        <row r="3806">
          <cell r="P3806">
            <v>0</v>
          </cell>
          <cell r="S3806" t="str">
            <v xml:space="preserve">32939 </v>
          </cell>
          <cell r="AA3806">
            <v>32939</v>
          </cell>
        </row>
        <row r="3807">
          <cell r="P3807">
            <v>0</v>
          </cell>
          <cell r="S3807" t="str">
            <v xml:space="preserve">32939 </v>
          </cell>
          <cell r="AA3807">
            <v>32939</v>
          </cell>
        </row>
        <row r="3808">
          <cell r="P3808">
            <v>0</v>
          </cell>
          <cell r="S3808" t="str">
            <v xml:space="preserve">32939 </v>
          </cell>
          <cell r="AA3808">
            <v>32939</v>
          </cell>
        </row>
        <row r="3809">
          <cell r="P3809">
            <v>0</v>
          </cell>
          <cell r="S3809" t="str">
            <v xml:space="preserve">32939 </v>
          </cell>
          <cell r="AA3809">
            <v>32939</v>
          </cell>
        </row>
        <row r="3810">
          <cell r="P3810">
            <v>0</v>
          </cell>
          <cell r="S3810" t="str">
            <v xml:space="preserve">32939 </v>
          </cell>
          <cell r="AA3810">
            <v>32939</v>
          </cell>
        </row>
        <row r="3811">
          <cell r="P3811">
            <v>0</v>
          </cell>
          <cell r="S3811" t="str">
            <v xml:space="preserve">32939 </v>
          </cell>
          <cell r="AA3811">
            <v>32939</v>
          </cell>
        </row>
        <row r="3812">
          <cell r="P3812">
            <v>0</v>
          </cell>
          <cell r="S3812" t="str">
            <v xml:space="preserve">32939 </v>
          </cell>
          <cell r="AA3812">
            <v>32939</v>
          </cell>
        </row>
        <row r="3813">
          <cell r="P3813">
            <v>0</v>
          </cell>
          <cell r="S3813" t="str">
            <v xml:space="preserve">32939 </v>
          </cell>
          <cell r="AA3813">
            <v>32939</v>
          </cell>
        </row>
        <row r="3814">
          <cell r="P3814">
            <v>0</v>
          </cell>
          <cell r="S3814" t="str">
            <v xml:space="preserve">32939 </v>
          </cell>
          <cell r="AA3814">
            <v>32939</v>
          </cell>
        </row>
        <row r="3815">
          <cell r="P3815">
            <v>0</v>
          </cell>
          <cell r="S3815" t="str">
            <v xml:space="preserve">32939 </v>
          </cell>
          <cell r="AA3815">
            <v>32939</v>
          </cell>
        </row>
        <row r="3816">
          <cell r="P3816">
            <v>0</v>
          </cell>
          <cell r="S3816" t="str">
            <v xml:space="preserve">32939 </v>
          </cell>
          <cell r="AA3816">
            <v>32939</v>
          </cell>
        </row>
        <row r="3817">
          <cell r="P3817">
            <v>0</v>
          </cell>
          <cell r="S3817" t="str">
            <v xml:space="preserve">32939 </v>
          </cell>
          <cell r="AA3817">
            <v>32939</v>
          </cell>
        </row>
        <row r="3818">
          <cell r="P3818">
            <v>0</v>
          </cell>
          <cell r="S3818" t="str">
            <v xml:space="preserve">32939 </v>
          </cell>
          <cell r="AA3818">
            <v>32939</v>
          </cell>
        </row>
        <row r="3819">
          <cell r="P3819">
            <v>0</v>
          </cell>
          <cell r="S3819" t="str">
            <v xml:space="preserve">32939 </v>
          </cell>
          <cell r="AA3819">
            <v>32939</v>
          </cell>
        </row>
        <row r="3820">
          <cell r="P3820">
            <v>0</v>
          </cell>
          <cell r="S3820" t="str">
            <v xml:space="preserve">32939 </v>
          </cell>
          <cell r="AA3820">
            <v>32939</v>
          </cell>
        </row>
        <row r="3821">
          <cell r="P3821">
            <v>0</v>
          </cell>
          <cell r="S3821" t="str">
            <v xml:space="preserve">32939 </v>
          </cell>
          <cell r="AA3821">
            <v>32939</v>
          </cell>
        </row>
        <row r="3822">
          <cell r="P3822">
            <v>0</v>
          </cell>
          <cell r="S3822" t="str">
            <v xml:space="preserve">32939 </v>
          </cell>
          <cell r="AA3822">
            <v>32939</v>
          </cell>
        </row>
        <row r="3823">
          <cell r="P3823">
            <v>0</v>
          </cell>
          <cell r="S3823" t="str">
            <v xml:space="preserve">32939 </v>
          </cell>
          <cell r="AA3823">
            <v>32939</v>
          </cell>
        </row>
        <row r="3824">
          <cell r="P3824">
            <v>0</v>
          </cell>
          <cell r="S3824" t="str">
            <v xml:space="preserve">32939 </v>
          </cell>
          <cell r="AA3824">
            <v>32939</v>
          </cell>
        </row>
        <row r="3825">
          <cell r="P3825">
            <v>0</v>
          </cell>
          <cell r="S3825" t="str">
            <v xml:space="preserve">32939 </v>
          </cell>
          <cell r="AA3825">
            <v>32939</v>
          </cell>
        </row>
        <row r="3826">
          <cell r="P3826">
            <v>0</v>
          </cell>
          <cell r="S3826" t="str">
            <v xml:space="preserve">32939 </v>
          </cell>
          <cell r="AA3826">
            <v>32939</v>
          </cell>
        </row>
        <row r="3827">
          <cell r="P3827">
            <v>0</v>
          </cell>
          <cell r="S3827" t="str">
            <v xml:space="preserve">32939 </v>
          </cell>
          <cell r="AA3827">
            <v>32939</v>
          </cell>
        </row>
        <row r="3828">
          <cell r="P3828">
            <v>0</v>
          </cell>
          <cell r="S3828" t="str">
            <v xml:space="preserve">32939 </v>
          </cell>
          <cell r="AA3828">
            <v>32939</v>
          </cell>
        </row>
        <row r="3829">
          <cell r="P3829">
            <v>0</v>
          </cell>
          <cell r="S3829" t="str">
            <v xml:space="preserve">32939 </v>
          </cell>
          <cell r="AA3829">
            <v>32939</v>
          </cell>
        </row>
        <row r="3830">
          <cell r="P3830">
            <v>0</v>
          </cell>
          <cell r="S3830" t="str">
            <v xml:space="preserve">32939 </v>
          </cell>
          <cell r="AA3830">
            <v>32939</v>
          </cell>
        </row>
        <row r="3831">
          <cell r="P3831">
            <v>0</v>
          </cell>
          <cell r="S3831" t="str">
            <v xml:space="preserve">32939 </v>
          </cell>
          <cell r="AA3831">
            <v>32939</v>
          </cell>
        </row>
        <row r="3832">
          <cell r="P3832">
            <v>0</v>
          </cell>
          <cell r="S3832" t="str">
            <v xml:space="preserve">32939 </v>
          </cell>
          <cell r="AA3832">
            <v>32939</v>
          </cell>
        </row>
        <row r="3833">
          <cell r="P3833">
            <v>0</v>
          </cell>
          <cell r="S3833" t="str">
            <v xml:space="preserve">32939 </v>
          </cell>
          <cell r="AA3833">
            <v>32939</v>
          </cell>
        </row>
        <row r="3834">
          <cell r="P3834">
            <v>0</v>
          </cell>
          <cell r="S3834" t="str">
            <v xml:space="preserve">32939 </v>
          </cell>
          <cell r="AA3834">
            <v>32939</v>
          </cell>
        </row>
        <row r="3835">
          <cell r="P3835">
            <v>0</v>
          </cell>
          <cell r="S3835" t="str">
            <v xml:space="preserve">32939 </v>
          </cell>
          <cell r="AA3835">
            <v>32939</v>
          </cell>
        </row>
        <row r="3836">
          <cell r="P3836">
            <v>0</v>
          </cell>
          <cell r="S3836" t="str">
            <v xml:space="preserve">32939 </v>
          </cell>
          <cell r="AA3836">
            <v>32939</v>
          </cell>
        </row>
        <row r="3837">
          <cell r="P3837">
            <v>0</v>
          </cell>
          <cell r="S3837" t="str">
            <v xml:space="preserve">32939 </v>
          </cell>
          <cell r="AA3837">
            <v>32939</v>
          </cell>
        </row>
        <row r="3838">
          <cell r="P3838">
            <v>0</v>
          </cell>
          <cell r="S3838" t="str">
            <v xml:space="preserve">32939 </v>
          </cell>
          <cell r="AA3838">
            <v>32939</v>
          </cell>
        </row>
        <row r="3839">
          <cell r="P3839">
            <v>0</v>
          </cell>
          <cell r="S3839" t="str">
            <v xml:space="preserve">32939 </v>
          </cell>
          <cell r="AA3839">
            <v>32939</v>
          </cell>
        </row>
        <row r="3840">
          <cell r="P3840">
            <v>0</v>
          </cell>
          <cell r="S3840" t="str">
            <v xml:space="preserve">32939 </v>
          </cell>
          <cell r="AA3840">
            <v>32939</v>
          </cell>
        </row>
        <row r="3841">
          <cell r="P3841">
            <v>0</v>
          </cell>
          <cell r="S3841" t="str">
            <v xml:space="preserve">32939 </v>
          </cell>
          <cell r="AA3841">
            <v>32939</v>
          </cell>
        </row>
        <row r="3842">
          <cell r="P3842">
            <v>0</v>
          </cell>
          <cell r="S3842" t="str">
            <v xml:space="preserve">32939 </v>
          </cell>
          <cell r="AA3842">
            <v>32939</v>
          </cell>
        </row>
        <row r="3843">
          <cell r="P3843">
            <v>0</v>
          </cell>
          <cell r="S3843" t="str">
            <v xml:space="preserve">32939 </v>
          </cell>
          <cell r="AA3843">
            <v>32939</v>
          </cell>
        </row>
        <row r="3844">
          <cell r="P3844">
            <v>0</v>
          </cell>
          <cell r="S3844" t="str">
            <v xml:space="preserve">32939 </v>
          </cell>
          <cell r="AA3844">
            <v>32939</v>
          </cell>
        </row>
        <row r="3845">
          <cell r="P3845">
            <v>0</v>
          </cell>
          <cell r="S3845" t="str">
            <v xml:space="preserve">32939 </v>
          </cell>
          <cell r="AA3845">
            <v>32939</v>
          </cell>
        </row>
        <row r="3846">
          <cell r="P3846">
            <v>0</v>
          </cell>
          <cell r="S3846" t="str">
            <v xml:space="preserve">32939 </v>
          </cell>
          <cell r="AA3846">
            <v>32939</v>
          </cell>
        </row>
        <row r="3847">
          <cell r="P3847">
            <v>0</v>
          </cell>
          <cell r="S3847" t="str">
            <v xml:space="preserve">32939 </v>
          </cell>
          <cell r="AA3847">
            <v>32939</v>
          </cell>
        </row>
        <row r="3848">
          <cell r="P3848">
            <v>0</v>
          </cell>
          <cell r="S3848" t="str">
            <v xml:space="preserve">32939 </v>
          </cell>
          <cell r="AA3848">
            <v>32939</v>
          </cell>
        </row>
        <row r="3849">
          <cell r="P3849">
            <v>0</v>
          </cell>
          <cell r="S3849" t="str">
            <v xml:space="preserve">32939 </v>
          </cell>
          <cell r="AA3849">
            <v>32939</v>
          </cell>
        </row>
        <row r="3850">
          <cell r="P3850">
            <v>0</v>
          </cell>
          <cell r="S3850" t="str">
            <v xml:space="preserve">32939 </v>
          </cell>
          <cell r="AA3850">
            <v>32939</v>
          </cell>
        </row>
        <row r="3851">
          <cell r="P3851">
            <v>0</v>
          </cell>
          <cell r="S3851" t="str">
            <v xml:space="preserve">32939 </v>
          </cell>
          <cell r="AA3851">
            <v>32939</v>
          </cell>
        </row>
        <row r="3852">
          <cell r="P3852">
            <v>0</v>
          </cell>
          <cell r="S3852" t="str">
            <v xml:space="preserve">32939 </v>
          </cell>
          <cell r="AA3852">
            <v>32939</v>
          </cell>
        </row>
        <row r="3853">
          <cell r="P3853">
            <v>0</v>
          </cell>
          <cell r="S3853" t="str">
            <v xml:space="preserve">32939 </v>
          </cell>
          <cell r="AA3853">
            <v>32939</v>
          </cell>
        </row>
        <row r="3854">
          <cell r="P3854">
            <v>0</v>
          </cell>
          <cell r="S3854" t="str">
            <v xml:space="preserve">32939 </v>
          </cell>
          <cell r="AA3854">
            <v>32939</v>
          </cell>
        </row>
        <row r="3855">
          <cell r="P3855">
            <v>0</v>
          </cell>
          <cell r="S3855" t="str">
            <v xml:space="preserve">32939 </v>
          </cell>
          <cell r="AA3855">
            <v>32939</v>
          </cell>
        </row>
        <row r="3856">
          <cell r="P3856">
            <v>0</v>
          </cell>
          <cell r="S3856" t="str">
            <v xml:space="preserve">32939 </v>
          </cell>
          <cell r="AA3856">
            <v>32939</v>
          </cell>
        </row>
        <row r="3857">
          <cell r="P3857">
            <v>0</v>
          </cell>
          <cell r="S3857" t="str">
            <v xml:space="preserve">32939 </v>
          </cell>
          <cell r="AA3857">
            <v>32939</v>
          </cell>
        </row>
        <row r="3858">
          <cell r="P3858">
            <v>0</v>
          </cell>
          <cell r="S3858" t="str">
            <v xml:space="preserve">32939 </v>
          </cell>
          <cell r="AA3858">
            <v>32939</v>
          </cell>
        </row>
        <row r="3859">
          <cell r="P3859">
            <v>0</v>
          </cell>
          <cell r="S3859" t="str">
            <v xml:space="preserve">32939 </v>
          </cell>
          <cell r="AA3859">
            <v>32939</v>
          </cell>
        </row>
        <row r="3860">
          <cell r="P3860">
            <v>0</v>
          </cell>
          <cell r="S3860" t="str">
            <v xml:space="preserve">32939 </v>
          </cell>
          <cell r="AA3860">
            <v>32939</v>
          </cell>
        </row>
        <row r="3861">
          <cell r="P3861">
            <v>0</v>
          </cell>
          <cell r="S3861" t="str">
            <v xml:space="preserve">32939 </v>
          </cell>
          <cell r="AA3861">
            <v>32939</v>
          </cell>
        </row>
        <row r="3862">
          <cell r="P3862">
            <v>0</v>
          </cell>
          <cell r="S3862" t="str">
            <v xml:space="preserve">32939 </v>
          </cell>
          <cell r="AA3862">
            <v>32939</v>
          </cell>
        </row>
        <row r="3863">
          <cell r="P3863">
            <v>0</v>
          </cell>
          <cell r="S3863" t="str">
            <v xml:space="preserve">32939 </v>
          </cell>
          <cell r="AA3863">
            <v>32939</v>
          </cell>
        </row>
        <row r="3864">
          <cell r="P3864">
            <v>0</v>
          </cell>
          <cell r="S3864" t="str">
            <v xml:space="preserve">32939 </v>
          </cell>
          <cell r="AA3864">
            <v>32939</v>
          </cell>
        </row>
        <row r="3865">
          <cell r="P3865">
            <v>0</v>
          </cell>
          <cell r="S3865" t="str">
            <v xml:space="preserve">32939 </v>
          </cell>
          <cell r="AA3865">
            <v>32939</v>
          </cell>
        </row>
        <row r="3866">
          <cell r="P3866">
            <v>0</v>
          </cell>
          <cell r="S3866" t="str">
            <v xml:space="preserve">32939 </v>
          </cell>
          <cell r="AA3866">
            <v>32939</v>
          </cell>
        </row>
        <row r="3867">
          <cell r="P3867">
            <v>0</v>
          </cell>
          <cell r="S3867" t="str">
            <v xml:space="preserve">32939 </v>
          </cell>
          <cell r="AA3867">
            <v>32939</v>
          </cell>
        </row>
        <row r="3868">
          <cell r="P3868">
            <v>0</v>
          </cell>
          <cell r="S3868" t="str">
            <v xml:space="preserve">32939 </v>
          </cell>
          <cell r="AA3868">
            <v>32939</v>
          </cell>
        </row>
        <row r="3869">
          <cell r="P3869">
            <v>0</v>
          </cell>
          <cell r="S3869" t="str">
            <v xml:space="preserve">32939 </v>
          </cell>
          <cell r="AA3869">
            <v>32939</v>
          </cell>
        </row>
        <row r="3870">
          <cell r="P3870">
            <v>0</v>
          </cell>
          <cell r="S3870" t="str">
            <v xml:space="preserve">32939 </v>
          </cell>
          <cell r="AA3870">
            <v>32939</v>
          </cell>
        </row>
        <row r="3871">
          <cell r="P3871">
            <v>0</v>
          </cell>
          <cell r="S3871" t="str">
            <v xml:space="preserve">32939 </v>
          </cell>
          <cell r="AA3871">
            <v>32939</v>
          </cell>
        </row>
        <row r="3872">
          <cell r="P3872">
            <v>0</v>
          </cell>
          <cell r="S3872" t="str">
            <v xml:space="preserve">32939 </v>
          </cell>
          <cell r="AA3872">
            <v>32939</v>
          </cell>
        </row>
        <row r="3873">
          <cell r="P3873">
            <v>0</v>
          </cell>
          <cell r="S3873" t="str">
            <v xml:space="preserve">32939 </v>
          </cell>
          <cell r="AA3873">
            <v>32939</v>
          </cell>
        </row>
        <row r="3874">
          <cell r="P3874">
            <v>0</v>
          </cell>
          <cell r="S3874" t="str">
            <v xml:space="preserve">32939 </v>
          </cell>
          <cell r="AA3874">
            <v>32939</v>
          </cell>
        </row>
        <row r="3875">
          <cell r="P3875">
            <v>0</v>
          </cell>
          <cell r="S3875" t="str">
            <v xml:space="preserve">32939 </v>
          </cell>
          <cell r="AA3875">
            <v>32939</v>
          </cell>
        </row>
        <row r="3876">
          <cell r="P3876">
            <v>0</v>
          </cell>
          <cell r="S3876" t="str">
            <v xml:space="preserve">32939 </v>
          </cell>
          <cell r="AA3876">
            <v>32939</v>
          </cell>
        </row>
        <row r="3877">
          <cell r="P3877">
            <v>0</v>
          </cell>
          <cell r="S3877" t="str">
            <v xml:space="preserve">32939 </v>
          </cell>
          <cell r="AA3877">
            <v>32939</v>
          </cell>
        </row>
        <row r="3878">
          <cell r="P3878">
            <v>0</v>
          </cell>
          <cell r="S3878" t="str">
            <v xml:space="preserve">32939 </v>
          </cell>
          <cell r="AA3878">
            <v>32939</v>
          </cell>
        </row>
        <row r="3879">
          <cell r="P3879">
            <v>0</v>
          </cell>
          <cell r="S3879" t="str">
            <v xml:space="preserve">32939 </v>
          </cell>
          <cell r="AA3879">
            <v>32939</v>
          </cell>
        </row>
        <row r="3880">
          <cell r="P3880">
            <v>0</v>
          </cell>
          <cell r="S3880" t="str">
            <v xml:space="preserve">32939 </v>
          </cell>
          <cell r="AA3880">
            <v>32939</v>
          </cell>
        </row>
        <row r="3881">
          <cell r="P3881">
            <v>0</v>
          </cell>
          <cell r="S3881" t="str">
            <v xml:space="preserve">32939 </v>
          </cell>
          <cell r="AA3881">
            <v>32939</v>
          </cell>
        </row>
        <row r="3882">
          <cell r="P3882">
            <v>0</v>
          </cell>
          <cell r="S3882" t="str">
            <v xml:space="preserve">32939 </v>
          </cell>
          <cell r="AA3882">
            <v>32939</v>
          </cell>
        </row>
        <row r="3883">
          <cell r="P3883">
            <v>0</v>
          </cell>
          <cell r="S3883" t="str">
            <v xml:space="preserve">32939 </v>
          </cell>
          <cell r="AA3883">
            <v>32939</v>
          </cell>
        </row>
        <row r="3884">
          <cell r="P3884">
            <v>0</v>
          </cell>
          <cell r="S3884" t="str">
            <v xml:space="preserve">32939 </v>
          </cell>
          <cell r="AA3884">
            <v>32939</v>
          </cell>
        </row>
        <row r="3885">
          <cell r="P3885">
            <v>0</v>
          </cell>
          <cell r="S3885" t="str">
            <v xml:space="preserve">32939 </v>
          </cell>
          <cell r="AA3885">
            <v>32939</v>
          </cell>
        </row>
        <row r="3886">
          <cell r="P3886">
            <v>0</v>
          </cell>
          <cell r="S3886" t="str">
            <v xml:space="preserve">32939 </v>
          </cell>
          <cell r="AA3886">
            <v>32939</v>
          </cell>
        </row>
        <row r="3887">
          <cell r="P3887">
            <v>0</v>
          </cell>
          <cell r="S3887" t="str">
            <v xml:space="preserve">32939 </v>
          </cell>
          <cell r="AA3887">
            <v>32939</v>
          </cell>
        </row>
        <row r="3888">
          <cell r="P3888">
            <v>0</v>
          </cell>
          <cell r="S3888" t="str">
            <v xml:space="preserve">32939 </v>
          </cell>
          <cell r="AA3888">
            <v>32939</v>
          </cell>
        </row>
        <row r="3889">
          <cell r="P3889">
            <v>0</v>
          </cell>
          <cell r="S3889" t="str">
            <v xml:space="preserve">32939 </v>
          </cell>
          <cell r="AA3889">
            <v>32939</v>
          </cell>
        </row>
        <row r="3890">
          <cell r="P3890">
            <v>0</v>
          </cell>
          <cell r="S3890" t="str">
            <v xml:space="preserve">32939 </v>
          </cell>
          <cell r="AA3890">
            <v>32939</v>
          </cell>
        </row>
        <row r="3891">
          <cell r="P3891">
            <v>0</v>
          </cell>
          <cell r="S3891" t="str">
            <v xml:space="preserve">32939 </v>
          </cell>
          <cell r="AA3891">
            <v>32939</v>
          </cell>
        </row>
        <row r="3892">
          <cell r="P3892">
            <v>0</v>
          </cell>
          <cell r="S3892" t="str">
            <v xml:space="preserve">32939 </v>
          </cell>
          <cell r="AA3892">
            <v>32939</v>
          </cell>
        </row>
        <row r="3893">
          <cell r="P3893">
            <v>0</v>
          </cell>
          <cell r="S3893" t="str">
            <v xml:space="preserve">32939 </v>
          </cell>
          <cell r="AA3893">
            <v>32939</v>
          </cell>
        </row>
        <row r="3894">
          <cell r="P3894">
            <v>0</v>
          </cell>
          <cell r="S3894" t="str">
            <v xml:space="preserve">32939 </v>
          </cell>
          <cell r="AA3894">
            <v>32939</v>
          </cell>
        </row>
        <row r="3895">
          <cell r="P3895">
            <v>0</v>
          </cell>
          <cell r="S3895" t="str">
            <v xml:space="preserve">32939 </v>
          </cell>
          <cell r="AA3895">
            <v>32939</v>
          </cell>
        </row>
        <row r="3896">
          <cell r="P3896">
            <v>0</v>
          </cell>
          <cell r="S3896" t="str">
            <v xml:space="preserve">32939 </v>
          </cell>
          <cell r="AA3896">
            <v>32939</v>
          </cell>
        </row>
        <row r="3897">
          <cell r="P3897">
            <v>0</v>
          </cell>
          <cell r="S3897" t="str">
            <v xml:space="preserve">32939 </v>
          </cell>
          <cell r="AA3897">
            <v>32939</v>
          </cell>
        </row>
        <row r="3898">
          <cell r="P3898">
            <v>0</v>
          </cell>
          <cell r="S3898" t="str">
            <v xml:space="preserve">32939 </v>
          </cell>
          <cell r="AA3898">
            <v>32939</v>
          </cell>
        </row>
        <row r="3899">
          <cell r="P3899">
            <v>0</v>
          </cell>
          <cell r="S3899" t="str">
            <v xml:space="preserve">32939 </v>
          </cell>
          <cell r="AA3899">
            <v>32939</v>
          </cell>
        </row>
        <row r="3900">
          <cell r="P3900">
            <v>0</v>
          </cell>
          <cell r="S3900" t="str">
            <v xml:space="preserve">32939 </v>
          </cell>
          <cell r="AA3900">
            <v>32939</v>
          </cell>
        </row>
        <row r="3901">
          <cell r="P3901">
            <v>0</v>
          </cell>
          <cell r="S3901" t="str">
            <v xml:space="preserve">32939 </v>
          </cell>
          <cell r="AA3901">
            <v>32939</v>
          </cell>
        </row>
        <row r="3902">
          <cell r="P3902">
            <v>0</v>
          </cell>
          <cell r="S3902" t="str">
            <v xml:space="preserve">32939 </v>
          </cell>
          <cell r="AA3902">
            <v>32939</v>
          </cell>
        </row>
        <row r="3903">
          <cell r="P3903">
            <v>0</v>
          </cell>
          <cell r="S3903" t="str">
            <v xml:space="preserve">32939 </v>
          </cell>
          <cell r="AA3903">
            <v>32939</v>
          </cell>
        </row>
        <row r="3904">
          <cell r="P3904">
            <v>0</v>
          </cell>
          <cell r="S3904" t="str">
            <v xml:space="preserve">32939 </v>
          </cell>
          <cell r="AA3904">
            <v>32939</v>
          </cell>
        </row>
        <row r="3905">
          <cell r="P3905">
            <v>0</v>
          </cell>
          <cell r="S3905" t="str">
            <v xml:space="preserve">32939 </v>
          </cell>
          <cell r="AA3905">
            <v>32939</v>
          </cell>
        </row>
        <row r="3906">
          <cell r="P3906">
            <v>0</v>
          </cell>
          <cell r="S3906" t="str">
            <v xml:space="preserve">32939 </v>
          </cell>
          <cell r="AA3906">
            <v>32939</v>
          </cell>
        </row>
        <row r="3907">
          <cell r="P3907">
            <v>0</v>
          </cell>
          <cell r="S3907" t="str">
            <v xml:space="preserve">32939 </v>
          </cell>
          <cell r="AA3907">
            <v>32939</v>
          </cell>
        </row>
        <row r="3908">
          <cell r="P3908">
            <v>0</v>
          </cell>
          <cell r="S3908" t="str">
            <v xml:space="preserve">32939 </v>
          </cell>
          <cell r="AA3908">
            <v>32939</v>
          </cell>
        </row>
        <row r="3909">
          <cell r="P3909">
            <v>0</v>
          </cell>
          <cell r="S3909" t="str">
            <v xml:space="preserve">32939 </v>
          </cell>
          <cell r="AA3909">
            <v>32939</v>
          </cell>
        </row>
        <row r="3910">
          <cell r="P3910">
            <v>0</v>
          </cell>
          <cell r="S3910" t="str">
            <v xml:space="preserve">32939 </v>
          </cell>
          <cell r="AA3910">
            <v>32939</v>
          </cell>
        </row>
        <row r="3911">
          <cell r="P3911">
            <v>0</v>
          </cell>
          <cell r="S3911" t="str">
            <v xml:space="preserve">32939 </v>
          </cell>
          <cell r="AA3911">
            <v>32939</v>
          </cell>
        </row>
        <row r="3912">
          <cell r="P3912">
            <v>0</v>
          </cell>
          <cell r="S3912" t="str">
            <v xml:space="preserve">32939 </v>
          </cell>
          <cell r="AA3912">
            <v>32939</v>
          </cell>
        </row>
        <row r="3913">
          <cell r="P3913">
            <v>0</v>
          </cell>
          <cell r="S3913" t="str">
            <v xml:space="preserve">32939 </v>
          </cell>
          <cell r="AA3913">
            <v>32939</v>
          </cell>
        </row>
        <row r="3914">
          <cell r="P3914">
            <v>0</v>
          </cell>
          <cell r="S3914" t="str">
            <v xml:space="preserve">32939 </v>
          </cell>
          <cell r="AA3914">
            <v>32939</v>
          </cell>
        </row>
        <row r="3915">
          <cell r="P3915">
            <v>0</v>
          </cell>
          <cell r="S3915" t="str">
            <v xml:space="preserve">32939 </v>
          </cell>
          <cell r="AA3915">
            <v>32939</v>
          </cell>
        </row>
        <row r="3916">
          <cell r="P3916">
            <v>0</v>
          </cell>
          <cell r="S3916" t="str">
            <v xml:space="preserve">32939 </v>
          </cell>
          <cell r="AA3916">
            <v>32939</v>
          </cell>
        </row>
        <row r="3917">
          <cell r="P3917">
            <v>0</v>
          </cell>
          <cell r="S3917" t="str">
            <v xml:space="preserve">32939 </v>
          </cell>
          <cell r="AA3917">
            <v>32939</v>
          </cell>
        </row>
        <row r="3918">
          <cell r="P3918">
            <v>0</v>
          </cell>
          <cell r="S3918" t="str">
            <v xml:space="preserve">32939 </v>
          </cell>
          <cell r="AA3918">
            <v>32939</v>
          </cell>
        </row>
        <row r="3919">
          <cell r="P3919">
            <v>0</v>
          </cell>
          <cell r="S3919" t="str">
            <v xml:space="preserve">32939 </v>
          </cell>
          <cell r="AA3919">
            <v>32939</v>
          </cell>
        </row>
        <row r="3920">
          <cell r="P3920">
            <v>0</v>
          </cell>
          <cell r="S3920" t="str">
            <v xml:space="preserve">32939 </v>
          </cell>
          <cell r="AA3920">
            <v>32939</v>
          </cell>
        </row>
        <row r="3921">
          <cell r="P3921">
            <v>0</v>
          </cell>
          <cell r="S3921" t="str">
            <v xml:space="preserve">32939 </v>
          </cell>
          <cell r="AA3921">
            <v>32939</v>
          </cell>
        </row>
        <row r="3922">
          <cell r="P3922">
            <v>0</v>
          </cell>
          <cell r="S3922" t="str">
            <v xml:space="preserve">32939 </v>
          </cell>
          <cell r="AA3922">
            <v>32939</v>
          </cell>
        </row>
        <row r="3923">
          <cell r="P3923">
            <v>0</v>
          </cell>
          <cell r="S3923" t="str">
            <v xml:space="preserve">32939 </v>
          </cell>
          <cell r="AA3923">
            <v>32939</v>
          </cell>
        </row>
        <row r="3924">
          <cell r="P3924">
            <v>0</v>
          </cell>
          <cell r="S3924" t="str">
            <v xml:space="preserve">32939 </v>
          </cell>
          <cell r="AA3924">
            <v>32939</v>
          </cell>
        </row>
        <row r="3925">
          <cell r="P3925">
            <v>0</v>
          </cell>
          <cell r="S3925" t="str">
            <v xml:space="preserve">32939 </v>
          </cell>
          <cell r="AA3925">
            <v>32939</v>
          </cell>
        </row>
        <row r="3926">
          <cell r="P3926">
            <v>0</v>
          </cell>
          <cell r="S3926" t="str">
            <v xml:space="preserve">32939 </v>
          </cell>
          <cell r="AA3926">
            <v>32939</v>
          </cell>
        </row>
        <row r="3927">
          <cell r="P3927">
            <v>0</v>
          </cell>
          <cell r="S3927" t="str">
            <v xml:space="preserve">32939 </v>
          </cell>
          <cell r="AA3927">
            <v>32939</v>
          </cell>
        </row>
        <row r="3928">
          <cell r="P3928">
            <v>0</v>
          </cell>
          <cell r="S3928" t="str">
            <v xml:space="preserve">32939 </v>
          </cell>
          <cell r="AA3928">
            <v>32939</v>
          </cell>
        </row>
        <row r="3929">
          <cell r="P3929">
            <v>0</v>
          </cell>
          <cell r="S3929" t="str">
            <v xml:space="preserve">32939 </v>
          </cell>
          <cell r="AA3929">
            <v>32939</v>
          </cell>
        </row>
        <row r="3930">
          <cell r="P3930">
            <v>0</v>
          </cell>
          <cell r="S3930" t="str">
            <v xml:space="preserve">32939 </v>
          </cell>
          <cell r="AA3930">
            <v>32939</v>
          </cell>
        </row>
        <row r="3931">
          <cell r="P3931">
            <v>0</v>
          </cell>
          <cell r="S3931" t="str">
            <v xml:space="preserve">32939 </v>
          </cell>
          <cell r="AA3931">
            <v>32939</v>
          </cell>
        </row>
        <row r="3932">
          <cell r="P3932">
            <v>0</v>
          </cell>
          <cell r="S3932" t="str">
            <v xml:space="preserve">32939 </v>
          </cell>
          <cell r="AA3932">
            <v>32939</v>
          </cell>
        </row>
        <row r="3933">
          <cell r="P3933">
            <v>0</v>
          </cell>
          <cell r="S3933" t="str">
            <v xml:space="preserve">32939 </v>
          </cell>
          <cell r="AA3933">
            <v>32939</v>
          </cell>
        </row>
        <row r="3934">
          <cell r="P3934">
            <v>0</v>
          </cell>
          <cell r="S3934" t="str">
            <v xml:space="preserve">32939 </v>
          </cell>
          <cell r="AA3934">
            <v>32939</v>
          </cell>
        </row>
        <row r="3935">
          <cell r="P3935">
            <v>0</v>
          </cell>
          <cell r="S3935" t="str">
            <v xml:space="preserve">32939 </v>
          </cell>
          <cell r="AA3935">
            <v>32939</v>
          </cell>
        </row>
        <row r="3936">
          <cell r="P3936">
            <v>0</v>
          </cell>
          <cell r="S3936" t="str">
            <v xml:space="preserve">32939 </v>
          </cell>
          <cell r="AA3936">
            <v>32939</v>
          </cell>
        </row>
        <row r="3937">
          <cell r="P3937">
            <v>0</v>
          </cell>
          <cell r="S3937" t="str">
            <v xml:space="preserve">32939 </v>
          </cell>
          <cell r="AA3937">
            <v>32939</v>
          </cell>
        </row>
        <row r="3938">
          <cell r="P3938">
            <v>0</v>
          </cell>
          <cell r="S3938" t="str">
            <v xml:space="preserve">32939 </v>
          </cell>
          <cell r="AA3938">
            <v>32939</v>
          </cell>
        </row>
        <row r="3939">
          <cell r="P3939">
            <v>0</v>
          </cell>
          <cell r="S3939" t="str">
            <v xml:space="preserve">32939 </v>
          </cell>
          <cell r="AA3939">
            <v>32939</v>
          </cell>
        </row>
        <row r="3940">
          <cell r="P3940">
            <v>0</v>
          </cell>
          <cell r="S3940" t="str">
            <v xml:space="preserve">32939 </v>
          </cell>
          <cell r="AA3940">
            <v>32939</v>
          </cell>
        </row>
        <row r="3941">
          <cell r="P3941">
            <v>0</v>
          </cell>
          <cell r="S3941" t="str">
            <v xml:space="preserve">32939 </v>
          </cell>
          <cell r="AA3941">
            <v>32939</v>
          </cell>
        </row>
        <row r="3942">
          <cell r="P3942">
            <v>0</v>
          </cell>
          <cell r="S3942" t="str">
            <v xml:space="preserve">32939 </v>
          </cell>
          <cell r="AA3942">
            <v>32939</v>
          </cell>
        </row>
        <row r="3943">
          <cell r="P3943">
            <v>0</v>
          </cell>
          <cell r="S3943" t="str">
            <v xml:space="preserve">32939 </v>
          </cell>
          <cell r="AA3943">
            <v>32939</v>
          </cell>
        </row>
        <row r="3944">
          <cell r="P3944">
            <v>0</v>
          </cell>
          <cell r="S3944" t="str">
            <v xml:space="preserve">32939 </v>
          </cell>
          <cell r="AA3944">
            <v>32939</v>
          </cell>
        </row>
        <row r="3945">
          <cell r="P3945">
            <v>0</v>
          </cell>
          <cell r="S3945" t="str">
            <v xml:space="preserve">32939 </v>
          </cell>
          <cell r="AA3945">
            <v>32939</v>
          </cell>
        </row>
        <row r="3946">
          <cell r="P3946">
            <v>0</v>
          </cell>
          <cell r="S3946" t="str">
            <v xml:space="preserve">32939 </v>
          </cell>
          <cell r="AA3946">
            <v>32939</v>
          </cell>
        </row>
        <row r="3947">
          <cell r="P3947">
            <v>0</v>
          </cell>
          <cell r="S3947" t="str">
            <v xml:space="preserve">32939 </v>
          </cell>
          <cell r="AA3947">
            <v>32939</v>
          </cell>
        </row>
        <row r="3948">
          <cell r="P3948">
            <v>0</v>
          </cell>
          <cell r="S3948" t="str">
            <v xml:space="preserve">32939 </v>
          </cell>
          <cell r="AA3948">
            <v>32939</v>
          </cell>
        </row>
        <row r="3949">
          <cell r="P3949">
            <v>0</v>
          </cell>
          <cell r="S3949" t="str">
            <v xml:space="preserve">32939 </v>
          </cell>
          <cell r="AA3949">
            <v>32939</v>
          </cell>
        </row>
        <row r="3950">
          <cell r="P3950">
            <v>0</v>
          </cell>
          <cell r="S3950" t="str">
            <v xml:space="preserve">32939 </v>
          </cell>
          <cell r="AA3950">
            <v>32939</v>
          </cell>
        </row>
        <row r="3951">
          <cell r="P3951">
            <v>0</v>
          </cell>
          <cell r="S3951" t="str">
            <v xml:space="preserve">32939 </v>
          </cell>
          <cell r="AA3951">
            <v>32939</v>
          </cell>
        </row>
        <row r="3952">
          <cell r="P3952">
            <v>0</v>
          </cell>
          <cell r="S3952" t="str">
            <v xml:space="preserve">32939 </v>
          </cell>
          <cell r="AA3952">
            <v>32939</v>
          </cell>
        </row>
        <row r="3953">
          <cell r="P3953">
            <v>0</v>
          </cell>
          <cell r="S3953" t="str">
            <v xml:space="preserve">32939 </v>
          </cell>
          <cell r="AA3953">
            <v>32939</v>
          </cell>
        </row>
        <row r="3954">
          <cell r="P3954">
            <v>0</v>
          </cell>
          <cell r="S3954" t="str">
            <v xml:space="preserve">32939 </v>
          </cell>
          <cell r="AA3954">
            <v>32939</v>
          </cell>
        </row>
        <row r="3955">
          <cell r="P3955">
            <v>0</v>
          </cell>
          <cell r="S3955" t="str">
            <v xml:space="preserve">32939 </v>
          </cell>
          <cell r="AA3955">
            <v>32939</v>
          </cell>
        </row>
        <row r="3956">
          <cell r="P3956">
            <v>0</v>
          </cell>
          <cell r="S3956" t="str">
            <v xml:space="preserve">32939 </v>
          </cell>
          <cell r="AA3956">
            <v>32939</v>
          </cell>
        </row>
        <row r="3957">
          <cell r="P3957">
            <v>0</v>
          </cell>
          <cell r="S3957" t="str">
            <v xml:space="preserve">32939 </v>
          </cell>
          <cell r="AA3957">
            <v>32939</v>
          </cell>
        </row>
        <row r="3958">
          <cell r="P3958">
            <v>0</v>
          </cell>
          <cell r="S3958" t="str">
            <v xml:space="preserve">32939 </v>
          </cell>
          <cell r="AA3958">
            <v>32939</v>
          </cell>
        </row>
        <row r="3959">
          <cell r="P3959">
            <v>0</v>
          </cell>
          <cell r="S3959" t="str">
            <v xml:space="preserve">32939 </v>
          </cell>
          <cell r="AA3959">
            <v>32939</v>
          </cell>
        </row>
        <row r="3960">
          <cell r="P3960">
            <v>0</v>
          </cell>
          <cell r="S3960" t="str">
            <v xml:space="preserve">32939 </v>
          </cell>
          <cell r="AA3960">
            <v>32939</v>
          </cell>
        </row>
        <row r="3961">
          <cell r="P3961">
            <v>0</v>
          </cell>
          <cell r="S3961" t="str">
            <v xml:space="preserve">32939 </v>
          </cell>
          <cell r="AA3961">
            <v>32939</v>
          </cell>
        </row>
        <row r="3962">
          <cell r="P3962">
            <v>0</v>
          </cell>
          <cell r="S3962" t="str">
            <v xml:space="preserve">32939 </v>
          </cell>
          <cell r="AA3962">
            <v>32939</v>
          </cell>
        </row>
        <row r="3963">
          <cell r="P3963">
            <v>0</v>
          </cell>
          <cell r="S3963" t="str">
            <v xml:space="preserve">32939 </v>
          </cell>
          <cell r="AA3963">
            <v>32939</v>
          </cell>
        </row>
        <row r="3964">
          <cell r="P3964">
            <v>0</v>
          </cell>
          <cell r="S3964" t="str">
            <v xml:space="preserve">32939 </v>
          </cell>
          <cell r="AA3964">
            <v>32939</v>
          </cell>
        </row>
        <row r="3965">
          <cell r="P3965">
            <v>0</v>
          </cell>
          <cell r="S3965" t="str">
            <v xml:space="preserve">32939 </v>
          </cell>
          <cell r="AA3965">
            <v>32939</v>
          </cell>
        </row>
        <row r="3966">
          <cell r="P3966">
            <v>0</v>
          </cell>
          <cell r="S3966" t="str">
            <v xml:space="preserve">32939 </v>
          </cell>
          <cell r="AA3966">
            <v>32939</v>
          </cell>
        </row>
        <row r="3967">
          <cell r="P3967">
            <v>0</v>
          </cell>
          <cell r="S3967" t="str">
            <v xml:space="preserve">32939 </v>
          </cell>
          <cell r="AA3967">
            <v>32939</v>
          </cell>
        </row>
        <row r="3968">
          <cell r="P3968">
            <v>0</v>
          </cell>
          <cell r="S3968" t="str">
            <v xml:space="preserve">32939 </v>
          </cell>
          <cell r="AA3968">
            <v>32939</v>
          </cell>
        </row>
        <row r="3969">
          <cell r="P3969">
            <v>0</v>
          </cell>
          <cell r="S3969" t="str">
            <v xml:space="preserve">32939 </v>
          </cell>
          <cell r="AA3969">
            <v>32939</v>
          </cell>
        </row>
        <row r="3970">
          <cell r="P3970">
            <v>0</v>
          </cell>
          <cell r="S3970" t="str">
            <v xml:space="preserve">32939 </v>
          </cell>
          <cell r="AA3970">
            <v>32939</v>
          </cell>
        </row>
        <row r="3971">
          <cell r="P3971">
            <v>0</v>
          </cell>
          <cell r="S3971" t="str">
            <v xml:space="preserve">32939 </v>
          </cell>
          <cell r="AA3971">
            <v>32939</v>
          </cell>
        </row>
        <row r="3972">
          <cell r="P3972">
            <v>0</v>
          </cell>
          <cell r="S3972" t="str">
            <v xml:space="preserve">32939 </v>
          </cell>
          <cell r="AA3972">
            <v>32939</v>
          </cell>
        </row>
        <row r="3973">
          <cell r="P3973">
            <v>0</v>
          </cell>
          <cell r="S3973" t="str">
            <v xml:space="preserve">32939 </v>
          </cell>
          <cell r="AA3973">
            <v>32939</v>
          </cell>
        </row>
        <row r="3974">
          <cell r="P3974">
            <v>0</v>
          </cell>
          <cell r="S3974" t="str">
            <v xml:space="preserve">32939 </v>
          </cell>
          <cell r="AA3974">
            <v>32939</v>
          </cell>
        </row>
        <row r="3975">
          <cell r="P3975">
            <v>0</v>
          </cell>
          <cell r="S3975" t="str">
            <v xml:space="preserve">32939 </v>
          </cell>
          <cell r="AA3975">
            <v>32939</v>
          </cell>
        </row>
        <row r="3976">
          <cell r="P3976">
            <v>0</v>
          </cell>
          <cell r="S3976" t="str">
            <v xml:space="preserve">32939 </v>
          </cell>
          <cell r="AA3976">
            <v>32939</v>
          </cell>
        </row>
        <row r="3977">
          <cell r="P3977">
            <v>0</v>
          </cell>
          <cell r="S3977" t="str">
            <v xml:space="preserve">32939 </v>
          </cell>
          <cell r="AA3977">
            <v>32939</v>
          </cell>
        </row>
        <row r="3978">
          <cell r="P3978">
            <v>0</v>
          </cell>
          <cell r="S3978" t="str">
            <v xml:space="preserve">32939 </v>
          </cell>
          <cell r="AA3978">
            <v>32939</v>
          </cell>
        </row>
        <row r="3979">
          <cell r="P3979">
            <v>0</v>
          </cell>
          <cell r="S3979" t="str">
            <v xml:space="preserve">32939 </v>
          </cell>
          <cell r="AA3979">
            <v>32939</v>
          </cell>
        </row>
        <row r="3980">
          <cell r="P3980">
            <v>0</v>
          </cell>
          <cell r="S3980" t="str">
            <v xml:space="preserve">32939 </v>
          </cell>
          <cell r="AA3980">
            <v>32939</v>
          </cell>
        </row>
        <row r="3981">
          <cell r="P3981">
            <v>0</v>
          </cell>
          <cell r="S3981" t="str">
            <v xml:space="preserve">32939 </v>
          </cell>
          <cell r="AA3981">
            <v>32939</v>
          </cell>
        </row>
        <row r="3982">
          <cell r="P3982">
            <v>0</v>
          </cell>
          <cell r="S3982" t="str">
            <v xml:space="preserve">32939 </v>
          </cell>
          <cell r="AA3982">
            <v>32939</v>
          </cell>
        </row>
        <row r="3983">
          <cell r="P3983">
            <v>0</v>
          </cell>
          <cell r="S3983" t="str">
            <v xml:space="preserve">32939 </v>
          </cell>
          <cell r="AA3983">
            <v>32939</v>
          </cell>
        </row>
        <row r="3984">
          <cell r="P3984">
            <v>0</v>
          </cell>
          <cell r="S3984" t="str">
            <v xml:space="preserve">32939 </v>
          </cell>
          <cell r="AA3984">
            <v>32939</v>
          </cell>
        </row>
        <row r="3985">
          <cell r="P3985">
            <v>0</v>
          </cell>
          <cell r="S3985" t="str">
            <v xml:space="preserve">32939 </v>
          </cell>
          <cell r="AA3985">
            <v>32939</v>
          </cell>
        </row>
        <row r="3986">
          <cell r="P3986">
            <v>0</v>
          </cell>
          <cell r="S3986" t="str">
            <v xml:space="preserve">32939 </v>
          </cell>
          <cell r="AA3986">
            <v>32939</v>
          </cell>
        </row>
        <row r="3987">
          <cell r="P3987">
            <v>0</v>
          </cell>
          <cell r="S3987" t="str">
            <v xml:space="preserve">32939 </v>
          </cell>
          <cell r="AA3987">
            <v>32939</v>
          </cell>
        </row>
        <row r="3988">
          <cell r="P3988">
            <v>0</v>
          </cell>
          <cell r="S3988" t="str">
            <v xml:space="preserve">32939 </v>
          </cell>
          <cell r="AA3988">
            <v>32939</v>
          </cell>
        </row>
        <row r="3989">
          <cell r="P3989">
            <v>0</v>
          </cell>
          <cell r="S3989" t="str">
            <v xml:space="preserve">32939 </v>
          </cell>
          <cell r="AA3989">
            <v>32939</v>
          </cell>
        </row>
        <row r="3990">
          <cell r="P3990">
            <v>0</v>
          </cell>
          <cell r="S3990" t="str">
            <v xml:space="preserve">32939 </v>
          </cell>
          <cell r="AA3990">
            <v>32939</v>
          </cell>
        </row>
        <row r="3991">
          <cell r="P3991">
            <v>0</v>
          </cell>
          <cell r="S3991" t="str">
            <v xml:space="preserve">32939 </v>
          </cell>
          <cell r="AA3991">
            <v>32939</v>
          </cell>
        </row>
        <row r="3992">
          <cell r="P3992">
            <v>0</v>
          </cell>
          <cell r="S3992" t="str">
            <v xml:space="preserve">32939 </v>
          </cell>
          <cell r="AA3992">
            <v>32939</v>
          </cell>
        </row>
        <row r="3993">
          <cell r="P3993">
            <v>0</v>
          </cell>
          <cell r="S3993" t="str">
            <v xml:space="preserve">32939 </v>
          </cell>
          <cell r="AA3993">
            <v>32939</v>
          </cell>
        </row>
        <row r="3994">
          <cell r="P3994">
            <v>0</v>
          </cell>
          <cell r="S3994" t="str">
            <v xml:space="preserve">32939 </v>
          </cell>
          <cell r="AA3994">
            <v>32939</v>
          </cell>
        </row>
        <row r="3995">
          <cell r="P3995">
            <v>0</v>
          </cell>
          <cell r="S3995" t="str">
            <v xml:space="preserve">32939 </v>
          </cell>
          <cell r="AA3995">
            <v>32939</v>
          </cell>
        </row>
        <row r="3996">
          <cell r="P3996">
            <v>0</v>
          </cell>
          <cell r="S3996" t="str">
            <v xml:space="preserve">32939 </v>
          </cell>
          <cell r="AA3996">
            <v>32939</v>
          </cell>
        </row>
        <row r="3997">
          <cell r="P3997">
            <v>0</v>
          </cell>
          <cell r="S3997" t="str">
            <v xml:space="preserve">32939 </v>
          </cell>
          <cell r="AA3997">
            <v>32939</v>
          </cell>
        </row>
        <row r="3998">
          <cell r="P3998">
            <v>0</v>
          </cell>
          <cell r="S3998" t="str">
            <v xml:space="preserve">32939 </v>
          </cell>
          <cell r="AA3998">
            <v>32939</v>
          </cell>
        </row>
        <row r="3999">
          <cell r="P3999">
            <v>0</v>
          </cell>
          <cell r="S3999" t="str">
            <v xml:space="preserve">32939 </v>
          </cell>
          <cell r="AA3999">
            <v>32939</v>
          </cell>
        </row>
        <row r="4000">
          <cell r="P4000">
            <v>0</v>
          </cell>
          <cell r="S4000" t="str">
            <v xml:space="preserve">32939 </v>
          </cell>
          <cell r="AA4000">
            <v>32939</v>
          </cell>
        </row>
        <row r="4001">
          <cell r="P4001">
            <v>0</v>
          </cell>
          <cell r="S4001" t="str">
            <v xml:space="preserve">32939 </v>
          </cell>
          <cell r="AA4001">
            <v>32939</v>
          </cell>
        </row>
        <row r="4002">
          <cell r="P4002">
            <v>0</v>
          </cell>
          <cell r="S4002" t="str">
            <v xml:space="preserve">32939 </v>
          </cell>
          <cell r="AA4002">
            <v>32939</v>
          </cell>
        </row>
        <row r="4003">
          <cell r="P4003">
            <v>0</v>
          </cell>
          <cell r="S4003" t="str">
            <v xml:space="preserve">32939 </v>
          </cell>
          <cell r="AA4003">
            <v>32939</v>
          </cell>
        </row>
        <row r="4004">
          <cell r="P4004">
            <v>0</v>
          </cell>
          <cell r="S4004" t="str">
            <v xml:space="preserve">32939 </v>
          </cell>
          <cell r="AA4004">
            <v>32939</v>
          </cell>
        </row>
        <row r="4005">
          <cell r="P4005">
            <v>0</v>
          </cell>
          <cell r="S4005" t="str">
            <v xml:space="preserve">32939 </v>
          </cell>
          <cell r="AA4005">
            <v>32939</v>
          </cell>
        </row>
        <row r="4006">
          <cell r="P4006">
            <v>0</v>
          </cell>
          <cell r="S4006" t="str">
            <v xml:space="preserve">32939 </v>
          </cell>
          <cell r="AA4006">
            <v>32939</v>
          </cell>
        </row>
        <row r="4007">
          <cell r="P4007">
            <v>0</v>
          </cell>
          <cell r="S4007" t="str">
            <v xml:space="preserve">32939 </v>
          </cell>
          <cell r="AA4007">
            <v>32939</v>
          </cell>
        </row>
        <row r="4008">
          <cell r="P4008">
            <v>0</v>
          </cell>
          <cell r="S4008" t="str">
            <v xml:space="preserve">32939 </v>
          </cell>
          <cell r="AA4008">
            <v>32939</v>
          </cell>
        </row>
        <row r="4009">
          <cell r="P4009">
            <v>0</v>
          </cell>
          <cell r="S4009" t="str">
            <v xml:space="preserve">32939 </v>
          </cell>
          <cell r="AA4009">
            <v>32939</v>
          </cell>
        </row>
        <row r="4010">
          <cell r="P4010">
            <v>0</v>
          </cell>
          <cell r="S4010" t="str">
            <v xml:space="preserve">32939 </v>
          </cell>
          <cell r="AA4010">
            <v>32939</v>
          </cell>
        </row>
        <row r="4011">
          <cell r="P4011">
            <v>0</v>
          </cell>
          <cell r="S4011" t="str">
            <v xml:space="preserve">32939 </v>
          </cell>
          <cell r="AA4011">
            <v>32939</v>
          </cell>
        </row>
        <row r="4012">
          <cell r="P4012">
            <v>0</v>
          </cell>
          <cell r="S4012" t="str">
            <v xml:space="preserve">32939 </v>
          </cell>
          <cell r="AA4012">
            <v>32939</v>
          </cell>
        </row>
        <row r="4013">
          <cell r="P4013">
            <v>0</v>
          </cell>
          <cell r="S4013" t="str">
            <v xml:space="preserve">32939 </v>
          </cell>
          <cell r="AA4013">
            <v>32939</v>
          </cell>
        </row>
        <row r="4014">
          <cell r="P4014">
            <v>0</v>
          </cell>
          <cell r="S4014" t="str">
            <v xml:space="preserve">32939 </v>
          </cell>
          <cell r="AA4014">
            <v>32939</v>
          </cell>
        </row>
        <row r="4015">
          <cell r="P4015">
            <v>0</v>
          </cell>
          <cell r="S4015" t="str">
            <v xml:space="preserve">32939 </v>
          </cell>
          <cell r="AA4015">
            <v>32939</v>
          </cell>
        </row>
        <row r="4016">
          <cell r="P4016">
            <v>0</v>
          </cell>
          <cell r="S4016" t="str">
            <v xml:space="preserve">32939 </v>
          </cell>
          <cell r="AA4016">
            <v>32939</v>
          </cell>
        </row>
        <row r="4017">
          <cell r="P4017">
            <v>0</v>
          </cell>
          <cell r="S4017" t="str">
            <v xml:space="preserve">32939 </v>
          </cell>
          <cell r="AA4017">
            <v>32939</v>
          </cell>
        </row>
        <row r="4018">
          <cell r="P4018">
            <v>0</v>
          </cell>
          <cell r="S4018" t="str">
            <v xml:space="preserve">32939 </v>
          </cell>
          <cell r="AA4018">
            <v>32939</v>
          </cell>
        </row>
        <row r="4019">
          <cell r="P4019">
            <v>0</v>
          </cell>
          <cell r="S4019" t="str">
            <v xml:space="preserve">32939 </v>
          </cell>
          <cell r="AA4019">
            <v>32939</v>
          </cell>
        </row>
        <row r="4020">
          <cell r="P4020">
            <v>0</v>
          </cell>
          <cell r="S4020" t="str">
            <v xml:space="preserve">32939 </v>
          </cell>
          <cell r="AA4020">
            <v>32939</v>
          </cell>
        </row>
        <row r="4021">
          <cell r="P4021">
            <v>0</v>
          </cell>
          <cell r="S4021" t="str">
            <v xml:space="preserve">32939 </v>
          </cell>
          <cell r="AA4021">
            <v>32939</v>
          </cell>
        </row>
        <row r="4022">
          <cell r="P4022">
            <v>0</v>
          </cell>
          <cell r="S4022" t="str">
            <v xml:space="preserve">32939 </v>
          </cell>
          <cell r="AA4022">
            <v>32939</v>
          </cell>
        </row>
        <row r="4023">
          <cell r="P4023">
            <v>0</v>
          </cell>
          <cell r="S4023" t="str">
            <v xml:space="preserve">32939 </v>
          </cell>
          <cell r="AA4023">
            <v>32939</v>
          </cell>
        </row>
        <row r="4024">
          <cell r="P4024">
            <v>0</v>
          </cell>
          <cell r="S4024" t="str">
            <v xml:space="preserve">32939 </v>
          </cell>
          <cell r="AA4024">
            <v>32939</v>
          </cell>
        </row>
        <row r="4025">
          <cell r="P4025">
            <v>0</v>
          </cell>
          <cell r="S4025" t="str">
            <v xml:space="preserve">32939 </v>
          </cell>
          <cell r="AA4025">
            <v>32939</v>
          </cell>
        </row>
        <row r="4026">
          <cell r="P4026">
            <v>0</v>
          </cell>
          <cell r="S4026" t="str">
            <v xml:space="preserve">32939 </v>
          </cell>
          <cell r="AA4026">
            <v>32939</v>
          </cell>
        </row>
        <row r="4027">
          <cell r="P4027">
            <v>0</v>
          </cell>
          <cell r="S4027" t="str">
            <v xml:space="preserve">32939 </v>
          </cell>
          <cell r="AA4027">
            <v>32939</v>
          </cell>
        </row>
        <row r="4028">
          <cell r="P4028">
            <v>0</v>
          </cell>
          <cell r="S4028" t="str">
            <v xml:space="preserve">32939 </v>
          </cell>
          <cell r="AA4028">
            <v>32939</v>
          </cell>
        </row>
        <row r="4029">
          <cell r="P4029">
            <v>0</v>
          </cell>
          <cell r="S4029" t="str">
            <v xml:space="preserve">32939 </v>
          </cell>
          <cell r="AA4029">
            <v>32939</v>
          </cell>
        </row>
        <row r="4030">
          <cell r="P4030">
            <v>0</v>
          </cell>
          <cell r="S4030" t="str">
            <v xml:space="preserve">32939 </v>
          </cell>
          <cell r="AA4030">
            <v>32939</v>
          </cell>
        </row>
        <row r="4031">
          <cell r="P4031">
            <v>0</v>
          </cell>
          <cell r="S4031" t="str">
            <v xml:space="preserve">32939 </v>
          </cell>
          <cell r="AA4031">
            <v>32939</v>
          </cell>
        </row>
        <row r="4032">
          <cell r="P4032">
            <v>0</v>
          </cell>
          <cell r="S4032" t="str">
            <v xml:space="preserve">32939 </v>
          </cell>
          <cell r="AA4032">
            <v>32939</v>
          </cell>
        </row>
        <row r="4033">
          <cell r="P4033">
            <v>0</v>
          </cell>
          <cell r="S4033" t="str">
            <v xml:space="preserve">32939 </v>
          </cell>
          <cell r="AA4033">
            <v>32939</v>
          </cell>
        </row>
        <row r="4034">
          <cell r="P4034">
            <v>0</v>
          </cell>
          <cell r="S4034" t="str">
            <v xml:space="preserve">32939 </v>
          </cell>
          <cell r="AA4034">
            <v>32939</v>
          </cell>
        </row>
        <row r="4035">
          <cell r="P4035">
            <v>0</v>
          </cell>
          <cell r="S4035" t="str">
            <v xml:space="preserve">32939 </v>
          </cell>
          <cell r="AA4035">
            <v>32939</v>
          </cell>
        </row>
        <row r="4036">
          <cell r="P4036">
            <v>0</v>
          </cell>
          <cell r="S4036" t="str">
            <v xml:space="preserve">32939 </v>
          </cell>
          <cell r="AA4036">
            <v>32939</v>
          </cell>
        </row>
        <row r="4037">
          <cell r="P4037">
            <v>0</v>
          </cell>
          <cell r="S4037" t="str">
            <v xml:space="preserve">32939 </v>
          </cell>
          <cell r="AA4037">
            <v>32939</v>
          </cell>
        </row>
        <row r="4038">
          <cell r="P4038">
            <v>0</v>
          </cell>
          <cell r="S4038" t="str">
            <v xml:space="preserve">32939 </v>
          </cell>
          <cell r="AA4038">
            <v>32939</v>
          </cell>
        </row>
        <row r="4039">
          <cell r="P4039">
            <v>0</v>
          </cell>
          <cell r="S4039" t="str">
            <v xml:space="preserve">32939 </v>
          </cell>
          <cell r="AA4039">
            <v>32939</v>
          </cell>
        </row>
        <row r="4040">
          <cell r="P4040">
            <v>0</v>
          </cell>
          <cell r="S4040" t="str">
            <v xml:space="preserve">32939 </v>
          </cell>
          <cell r="AA4040">
            <v>32939</v>
          </cell>
        </row>
        <row r="4041">
          <cell r="P4041">
            <v>0</v>
          </cell>
          <cell r="S4041" t="str">
            <v xml:space="preserve">32939 </v>
          </cell>
          <cell r="AA4041">
            <v>32939</v>
          </cell>
        </row>
        <row r="4042">
          <cell r="P4042">
            <v>0</v>
          </cell>
          <cell r="S4042" t="str">
            <v xml:space="preserve">32939 </v>
          </cell>
          <cell r="AA4042">
            <v>32939</v>
          </cell>
        </row>
        <row r="4043">
          <cell r="P4043">
            <v>0</v>
          </cell>
          <cell r="S4043" t="str">
            <v xml:space="preserve">32939 </v>
          </cell>
          <cell r="AA4043">
            <v>32939</v>
          </cell>
        </row>
        <row r="4044">
          <cell r="P4044">
            <v>0</v>
          </cell>
          <cell r="S4044" t="str">
            <v xml:space="preserve">32939 </v>
          </cell>
          <cell r="AA4044">
            <v>32939</v>
          </cell>
        </row>
        <row r="4045">
          <cell r="P4045">
            <v>0</v>
          </cell>
          <cell r="S4045" t="str">
            <v xml:space="preserve">32939 </v>
          </cell>
          <cell r="AA4045">
            <v>32939</v>
          </cell>
        </row>
        <row r="4046">
          <cell r="P4046">
            <v>0</v>
          </cell>
          <cell r="S4046" t="str">
            <v xml:space="preserve">32939 </v>
          </cell>
          <cell r="AA4046">
            <v>32939</v>
          </cell>
        </row>
        <row r="4047">
          <cell r="P4047">
            <v>0</v>
          </cell>
          <cell r="S4047" t="str">
            <v xml:space="preserve">32939 </v>
          </cell>
          <cell r="AA4047">
            <v>32939</v>
          </cell>
        </row>
        <row r="4048">
          <cell r="P4048">
            <v>0</v>
          </cell>
          <cell r="S4048" t="str">
            <v xml:space="preserve">32939 </v>
          </cell>
          <cell r="AA4048">
            <v>32939</v>
          </cell>
        </row>
        <row r="4049">
          <cell r="P4049">
            <v>0</v>
          </cell>
          <cell r="S4049" t="str">
            <v xml:space="preserve">32939 </v>
          </cell>
          <cell r="AA4049">
            <v>32939</v>
          </cell>
        </row>
        <row r="4050">
          <cell r="P4050">
            <v>0</v>
          </cell>
          <cell r="S4050" t="str">
            <v xml:space="preserve">32939 </v>
          </cell>
          <cell r="AA4050">
            <v>32939</v>
          </cell>
        </row>
        <row r="4051">
          <cell r="P4051">
            <v>0</v>
          </cell>
          <cell r="S4051" t="str">
            <v xml:space="preserve">32939 </v>
          </cell>
          <cell r="AA4051">
            <v>32939</v>
          </cell>
        </row>
        <row r="4052">
          <cell r="P4052">
            <v>0</v>
          </cell>
          <cell r="S4052" t="str">
            <v xml:space="preserve">32939 </v>
          </cell>
          <cell r="AA4052">
            <v>32939</v>
          </cell>
        </row>
        <row r="4053">
          <cell r="P4053">
            <v>0</v>
          </cell>
          <cell r="S4053" t="str">
            <v xml:space="preserve">32939 </v>
          </cell>
          <cell r="AA4053">
            <v>32939</v>
          </cell>
        </row>
        <row r="4054">
          <cell r="P4054">
            <v>0</v>
          </cell>
          <cell r="S4054" t="str">
            <v xml:space="preserve">32939 </v>
          </cell>
          <cell r="AA4054">
            <v>32939</v>
          </cell>
        </row>
        <row r="4055">
          <cell r="P4055">
            <v>0</v>
          </cell>
          <cell r="S4055" t="str">
            <v xml:space="preserve">32939 </v>
          </cell>
          <cell r="AA4055">
            <v>32939</v>
          </cell>
        </row>
        <row r="4056">
          <cell r="P4056">
            <v>0</v>
          </cell>
          <cell r="S4056" t="str">
            <v xml:space="preserve">32939 </v>
          </cell>
          <cell r="AA4056">
            <v>32939</v>
          </cell>
        </row>
        <row r="4057">
          <cell r="P4057">
            <v>0</v>
          </cell>
          <cell r="S4057" t="str">
            <v xml:space="preserve">32939 </v>
          </cell>
          <cell r="AA4057">
            <v>32939</v>
          </cell>
        </row>
        <row r="4058">
          <cell r="P4058">
            <v>0</v>
          </cell>
          <cell r="S4058" t="str">
            <v xml:space="preserve">32939 </v>
          </cell>
          <cell r="AA4058">
            <v>32939</v>
          </cell>
        </row>
        <row r="4059">
          <cell r="P4059">
            <v>0</v>
          </cell>
          <cell r="S4059" t="str">
            <v xml:space="preserve">32939 </v>
          </cell>
          <cell r="AA4059">
            <v>32939</v>
          </cell>
        </row>
        <row r="4060">
          <cell r="P4060">
            <v>0</v>
          </cell>
          <cell r="S4060" t="str">
            <v xml:space="preserve">32939 </v>
          </cell>
          <cell r="AA4060">
            <v>32939</v>
          </cell>
        </row>
        <row r="4061">
          <cell r="P4061">
            <v>0</v>
          </cell>
          <cell r="S4061" t="str">
            <v xml:space="preserve">32939 </v>
          </cell>
          <cell r="AA4061">
            <v>32939</v>
          </cell>
        </row>
        <row r="4062">
          <cell r="P4062">
            <v>0</v>
          </cell>
          <cell r="S4062" t="str">
            <v xml:space="preserve">32939 </v>
          </cell>
          <cell r="AA4062">
            <v>32939</v>
          </cell>
        </row>
        <row r="4063">
          <cell r="P4063">
            <v>0</v>
          </cell>
          <cell r="S4063" t="str">
            <v xml:space="preserve">32939 </v>
          </cell>
          <cell r="AA4063">
            <v>32939</v>
          </cell>
        </row>
        <row r="4064">
          <cell r="P4064">
            <v>0</v>
          </cell>
          <cell r="S4064" t="str">
            <v xml:space="preserve">32939 </v>
          </cell>
          <cell r="AA4064">
            <v>32939</v>
          </cell>
        </row>
        <row r="4065">
          <cell r="P4065">
            <v>0</v>
          </cell>
          <cell r="S4065" t="str">
            <v xml:space="preserve">32939 </v>
          </cell>
          <cell r="AA4065">
            <v>32939</v>
          </cell>
        </row>
        <row r="4066">
          <cell r="P4066">
            <v>0</v>
          </cell>
          <cell r="S4066" t="str">
            <v xml:space="preserve">32939 </v>
          </cell>
          <cell r="AA4066">
            <v>32939</v>
          </cell>
        </row>
        <row r="4067">
          <cell r="P4067">
            <v>0</v>
          </cell>
          <cell r="S4067" t="str">
            <v xml:space="preserve">32939 </v>
          </cell>
          <cell r="AA4067">
            <v>32939</v>
          </cell>
        </row>
        <row r="4068">
          <cell r="P4068">
            <v>0</v>
          </cell>
          <cell r="S4068" t="str">
            <v xml:space="preserve">32939 </v>
          </cell>
          <cell r="AA4068">
            <v>32939</v>
          </cell>
        </row>
        <row r="4069">
          <cell r="P4069">
            <v>0</v>
          </cell>
          <cell r="S4069" t="str">
            <v xml:space="preserve">32939 </v>
          </cell>
          <cell r="AA4069">
            <v>32939</v>
          </cell>
        </row>
        <row r="4070">
          <cell r="P4070">
            <v>0</v>
          </cell>
          <cell r="S4070" t="str">
            <v xml:space="preserve">32939 </v>
          </cell>
          <cell r="AA4070">
            <v>32939</v>
          </cell>
        </row>
        <row r="4071">
          <cell r="P4071">
            <v>0</v>
          </cell>
          <cell r="S4071" t="str">
            <v xml:space="preserve">32939 </v>
          </cell>
          <cell r="AA4071">
            <v>32939</v>
          </cell>
        </row>
        <row r="4072">
          <cell r="P4072">
            <v>0</v>
          </cell>
          <cell r="S4072" t="str">
            <v xml:space="preserve">32939 </v>
          </cell>
          <cell r="AA4072">
            <v>32939</v>
          </cell>
        </row>
        <row r="4073">
          <cell r="P4073">
            <v>0</v>
          </cell>
          <cell r="S4073" t="str">
            <v xml:space="preserve">32939 </v>
          </cell>
          <cell r="AA4073">
            <v>32939</v>
          </cell>
        </row>
        <row r="4074">
          <cell r="P4074">
            <v>0</v>
          </cell>
          <cell r="S4074" t="str">
            <v xml:space="preserve">32939 </v>
          </cell>
          <cell r="AA4074">
            <v>32939</v>
          </cell>
        </row>
        <row r="4075">
          <cell r="P4075">
            <v>0</v>
          </cell>
          <cell r="S4075" t="str">
            <v xml:space="preserve">32939 </v>
          </cell>
          <cell r="AA4075">
            <v>32939</v>
          </cell>
        </row>
        <row r="4076">
          <cell r="P4076">
            <v>0</v>
          </cell>
          <cell r="S4076" t="str">
            <v xml:space="preserve">32939 </v>
          </cell>
          <cell r="AA4076">
            <v>32939</v>
          </cell>
        </row>
        <row r="4077">
          <cell r="P4077">
            <v>0</v>
          </cell>
          <cell r="S4077" t="str">
            <v xml:space="preserve">32939 </v>
          </cell>
          <cell r="AA4077">
            <v>32939</v>
          </cell>
        </row>
        <row r="4078">
          <cell r="P4078">
            <v>0</v>
          </cell>
          <cell r="S4078" t="str">
            <v xml:space="preserve">32939 </v>
          </cell>
          <cell r="AA4078">
            <v>32939</v>
          </cell>
        </row>
        <row r="4079">
          <cell r="P4079">
            <v>0</v>
          </cell>
          <cell r="S4079" t="str">
            <v xml:space="preserve">32939 </v>
          </cell>
          <cell r="AA4079">
            <v>32939</v>
          </cell>
        </row>
        <row r="4080">
          <cell r="P4080">
            <v>0</v>
          </cell>
          <cell r="S4080" t="str">
            <v xml:space="preserve">32939 </v>
          </cell>
          <cell r="AA4080">
            <v>32939</v>
          </cell>
        </row>
        <row r="4081">
          <cell r="P4081">
            <v>0</v>
          </cell>
          <cell r="S4081" t="str">
            <v xml:space="preserve">32939 </v>
          </cell>
          <cell r="AA4081">
            <v>32939</v>
          </cell>
        </row>
        <row r="4082">
          <cell r="P4082">
            <v>0</v>
          </cell>
          <cell r="S4082" t="str">
            <v xml:space="preserve">32939 </v>
          </cell>
          <cell r="AA4082">
            <v>32939</v>
          </cell>
        </row>
        <row r="4083">
          <cell r="P4083">
            <v>0</v>
          </cell>
          <cell r="S4083" t="str">
            <v xml:space="preserve">32939 </v>
          </cell>
          <cell r="AA4083">
            <v>32939</v>
          </cell>
        </row>
        <row r="4084">
          <cell r="P4084">
            <v>0</v>
          </cell>
          <cell r="S4084" t="str">
            <v xml:space="preserve">32939 </v>
          </cell>
          <cell r="AA4084">
            <v>32939</v>
          </cell>
        </row>
        <row r="4085">
          <cell r="P4085">
            <v>0</v>
          </cell>
          <cell r="S4085" t="str">
            <v xml:space="preserve">32939 </v>
          </cell>
          <cell r="AA4085">
            <v>32939</v>
          </cell>
        </row>
        <row r="4086">
          <cell r="P4086">
            <v>0</v>
          </cell>
          <cell r="S4086" t="str">
            <v xml:space="preserve">32939 </v>
          </cell>
          <cell r="AA4086">
            <v>32939</v>
          </cell>
        </row>
        <row r="4087">
          <cell r="P4087">
            <v>0</v>
          </cell>
          <cell r="S4087" t="str">
            <v xml:space="preserve">32939 </v>
          </cell>
          <cell r="AA4087">
            <v>32939</v>
          </cell>
        </row>
        <row r="4088">
          <cell r="P4088">
            <v>0</v>
          </cell>
          <cell r="S4088" t="str">
            <v xml:space="preserve">32939 </v>
          </cell>
          <cell r="AA4088">
            <v>32939</v>
          </cell>
        </row>
        <row r="4089">
          <cell r="P4089">
            <v>0</v>
          </cell>
          <cell r="S4089" t="str">
            <v xml:space="preserve">32939 </v>
          </cell>
          <cell r="AA4089">
            <v>32939</v>
          </cell>
        </row>
        <row r="4090">
          <cell r="P4090">
            <v>0</v>
          </cell>
          <cell r="S4090" t="str">
            <v xml:space="preserve">32939 </v>
          </cell>
          <cell r="AA4090">
            <v>32939</v>
          </cell>
        </row>
        <row r="4091">
          <cell r="P4091">
            <v>0</v>
          </cell>
          <cell r="S4091" t="str">
            <v xml:space="preserve">32939 </v>
          </cell>
          <cell r="AA4091">
            <v>32939</v>
          </cell>
        </row>
        <row r="4092">
          <cell r="P4092">
            <v>0</v>
          </cell>
          <cell r="S4092" t="str">
            <v xml:space="preserve">32939 </v>
          </cell>
          <cell r="AA4092">
            <v>32939</v>
          </cell>
        </row>
        <row r="4093">
          <cell r="P4093">
            <v>0</v>
          </cell>
          <cell r="S4093" t="str">
            <v xml:space="preserve">32939 </v>
          </cell>
          <cell r="AA4093">
            <v>32939</v>
          </cell>
        </row>
        <row r="4094">
          <cell r="P4094">
            <v>0</v>
          </cell>
          <cell r="S4094" t="str">
            <v xml:space="preserve">32939 </v>
          </cell>
          <cell r="AA4094">
            <v>32939</v>
          </cell>
        </row>
        <row r="4095">
          <cell r="P4095">
            <v>0</v>
          </cell>
          <cell r="S4095" t="str">
            <v xml:space="preserve">32939 </v>
          </cell>
          <cell r="AA4095">
            <v>32939</v>
          </cell>
        </row>
        <row r="4096">
          <cell r="P4096">
            <v>0</v>
          </cell>
          <cell r="S4096" t="str">
            <v xml:space="preserve">32939 </v>
          </cell>
          <cell r="AA4096">
            <v>32939</v>
          </cell>
        </row>
        <row r="4097">
          <cell r="P4097">
            <v>0</v>
          </cell>
          <cell r="S4097" t="str">
            <v xml:space="preserve">32939 </v>
          </cell>
          <cell r="AA4097">
            <v>32939</v>
          </cell>
        </row>
        <row r="4098">
          <cell r="P4098">
            <v>0</v>
          </cell>
          <cell r="S4098" t="str">
            <v xml:space="preserve">32939 </v>
          </cell>
          <cell r="AA4098">
            <v>32939</v>
          </cell>
        </row>
        <row r="4099">
          <cell r="P4099">
            <v>0</v>
          </cell>
          <cell r="S4099" t="str">
            <v xml:space="preserve">32939 </v>
          </cell>
          <cell r="AA4099">
            <v>32939</v>
          </cell>
        </row>
        <row r="4100">
          <cell r="P4100">
            <v>0</v>
          </cell>
          <cell r="S4100" t="str">
            <v xml:space="preserve">32939 </v>
          </cell>
          <cell r="AA4100">
            <v>32939</v>
          </cell>
        </row>
        <row r="4101">
          <cell r="P4101">
            <v>0</v>
          </cell>
          <cell r="S4101" t="str">
            <v xml:space="preserve">32939 </v>
          </cell>
          <cell r="AA4101">
            <v>32939</v>
          </cell>
        </row>
        <row r="4102">
          <cell r="P4102">
            <v>0</v>
          </cell>
          <cell r="S4102" t="str">
            <v xml:space="preserve">32939 </v>
          </cell>
          <cell r="AA4102">
            <v>32939</v>
          </cell>
        </row>
        <row r="4103">
          <cell r="P4103">
            <v>0</v>
          </cell>
          <cell r="S4103" t="str">
            <v xml:space="preserve">32939 </v>
          </cell>
          <cell r="AA4103">
            <v>32939</v>
          </cell>
        </row>
        <row r="4104">
          <cell r="P4104">
            <v>0</v>
          </cell>
          <cell r="S4104" t="str">
            <v xml:space="preserve">32939 </v>
          </cell>
          <cell r="AA4104">
            <v>32939</v>
          </cell>
        </row>
        <row r="4105">
          <cell r="P4105">
            <v>0</v>
          </cell>
          <cell r="S4105" t="str">
            <v xml:space="preserve">32939 </v>
          </cell>
          <cell r="AA4105">
            <v>32939</v>
          </cell>
        </row>
        <row r="4106">
          <cell r="P4106">
            <v>0</v>
          </cell>
          <cell r="S4106" t="str">
            <v xml:space="preserve">32939 </v>
          </cell>
          <cell r="AA4106">
            <v>32939</v>
          </cell>
        </row>
        <row r="4107">
          <cell r="P4107">
            <v>0</v>
          </cell>
          <cell r="S4107" t="str">
            <v xml:space="preserve">32939 </v>
          </cell>
          <cell r="AA4107">
            <v>32939</v>
          </cell>
        </row>
        <row r="4108">
          <cell r="P4108">
            <v>0</v>
          </cell>
          <cell r="S4108" t="str">
            <v xml:space="preserve">32939 </v>
          </cell>
          <cell r="AA4108">
            <v>32939</v>
          </cell>
        </row>
        <row r="4109">
          <cell r="P4109">
            <v>0</v>
          </cell>
          <cell r="S4109" t="str">
            <v xml:space="preserve">32939 </v>
          </cell>
          <cell r="AA4109">
            <v>32939</v>
          </cell>
        </row>
        <row r="4110">
          <cell r="P4110">
            <v>0</v>
          </cell>
          <cell r="S4110" t="str">
            <v xml:space="preserve">32939 </v>
          </cell>
          <cell r="AA4110">
            <v>32939</v>
          </cell>
        </row>
        <row r="4111">
          <cell r="P4111">
            <v>0</v>
          </cell>
          <cell r="S4111" t="str">
            <v xml:space="preserve">32939 </v>
          </cell>
          <cell r="AA4111">
            <v>32939</v>
          </cell>
        </row>
        <row r="4112">
          <cell r="P4112">
            <v>0</v>
          </cell>
          <cell r="S4112" t="str">
            <v xml:space="preserve">32939 </v>
          </cell>
          <cell r="AA4112">
            <v>32939</v>
          </cell>
        </row>
        <row r="4113">
          <cell r="P4113">
            <v>0</v>
          </cell>
          <cell r="S4113" t="str">
            <v xml:space="preserve">32939 </v>
          </cell>
          <cell r="AA4113">
            <v>32939</v>
          </cell>
        </row>
        <row r="4114">
          <cell r="P4114">
            <v>0</v>
          </cell>
          <cell r="S4114" t="str">
            <v xml:space="preserve">32939 </v>
          </cell>
          <cell r="AA4114">
            <v>32939</v>
          </cell>
        </row>
        <row r="4115">
          <cell r="P4115">
            <v>0</v>
          </cell>
          <cell r="S4115" t="str">
            <v xml:space="preserve">32939 </v>
          </cell>
          <cell r="AA4115">
            <v>32939</v>
          </cell>
        </row>
        <row r="4116">
          <cell r="P4116">
            <v>0</v>
          </cell>
          <cell r="S4116" t="str">
            <v xml:space="preserve">32939 </v>
          </cell>
          <cell r="AA4116">
            <v>32939</v>
          </cell>
        </row>
        <row r="4117">
          <cell r="P4117">
            <v>0</v>
          </cell>
          <cell r="S4117" t="str">
            <v xml:space="preserve">32939 </v>
          </cell>
          <cell r="AA4117">
            <v>32939</v>
          </cell>
        </row>
        <row r="4118">
          <cell r="P4118">
            <v>0</v>
          </cell>
          <cell r="S4118" t="str">
            <v xml:space="preserve">32939 </v>
          </cell>
          <cell r="AA4118">
            <v>32939</v>
          </cell>
        </row>
        <row r="4119">
          <cell r="P4119">
            <v>0</v>
          </cell>
          <cell r="S4119" t="str">
            <v xml:space="preserve">32939 </v>
          </cell>
          <cell r="AA4119">
            <v>32939</v>
          </cell>
        </row>
        <row r="4120">
          <cell r="P4120">
            <v>0</v>
          </cell>
          <cell r="S4120" t="str">
            <v xml:space="preserve">32939 </v>
          </cell>
          <cell r="AA4120">
            <v>32939</v>
          </cell>
        </row>
        <row r="4121">
          <cell r="P4121">
            <v>0</v>
          </cell>
          <cell r="S4121" t="str">
            <v xml:space="preserve">32939 </v>
          </cell>
          <cell r="AA4121">
            <v>32939</v>
          </cell>
        </row>
        <row r="4122">
          <cell r="P4122">
            <v>0</v>
          </cell>
          <cell r="S4122" t="str">
            <v xml:space="preserve">32939 </v>
          </cell>
          <cell r="AA4122">
            <v>32939</v>
          </cell>
        </row>
        <row r="4123">
          <cell r="P4123">
            <v>0</v>
          </cell>
          <cell r="S4123" t="str">
            <v xml:space="preserve">32939 </v>
          </cell>
          <cell r="AA4123">
            <v>32939</v>
          </cell>
        </row>
        <row r="4124">
          <cell r="P4124">
            <v>0</v>
          </cell>
          <cell r="S4124" t="str">
            <v xml:space="preserve">32939 </v>
          </cell>
          <cell r="AA4124">
            <v>32939</v>
          </cell>
        </row>
        <row r="4125">
          <cell r="P4125">
            <v>0</v>
          </cell>
          <cell r="S4125" t="str">
            <v xml:space="preserve">32939 </v>
          </cell>
          <cell r="AA4125">
            <v>32939</v>
          </cell>
        </row>
        <row r="4126">
          <cell r="P4126">
            <v>0</v>
          </cell>
          <cell r="S4126" t="str">
            <v xml:space="preserve">32939 </v>
          </cell>
          <cell r="AA4126">
            <v>32939</v>
          </cell>
        </row>
        <row r="4127">
          <cell r="P4127">
            <v>0</v>
          </cell>
          <cell r="S4127" t="str">
            <v xml:space="preserve">32939 </v>
          </cell>
          <cell r="AA4127">
            <v>32939</v>
          </cell>
        </row>
        <row r="4128">
          <cell r="P4128">
            <v>0</v>
          </cell>
          <cell r="S4128" t="str">
            <v xml:space="preserve">32939 </v>
          </cell>
          <cell r="AA4128">
            <v>32939</v>
          </cell>
        </row>
        <row r="4129">
          <cell r="P4129">
            <v>0</v>
          </cell>
          <cell r="S4129" t="str">
            <v xml:space="preserve">32939 </v>
          </cell>
          <cell r="AA4129">
            <v>32939</v>
          </cell>
        </row>
        <row r="4130">
          <cell r="P4130">
            <v>0</v>
          </cell>
          <cell r="S4130" t="str">
            <v xml:space="preserve">32939 </v>
          </cell>
          <cell r="AA4130">
            <v>32939</v>
          </cell>
        </row>
        <row r="4131">
          <cell r="P4131">
            <v>0</v>
          </cell>
          <cell r="S4131" t="str">
            <v xml:space="preserve">32939 </v>
          </cell>
          <cell r="AA4131">
            <v>32939</v>
          </cell>
        </row>
        <row r="4132">
          <cell r="P4132">
            <v>0</v>
          </cell>
          <cell r="S4132" t="str">
            <v xml:space="preserve">32939 </v>
          </cell>
          <cell r="AA4132">
            <v>32939</v>
          </cell>
        </row>
        <row r="4133">
          <cell r="P4133">
            <v>0</v>
          </cell>
          <cell r="S4133" t="str">
            <v xml:space="preserve">32939 </v>
          </cell>
          <cell r="AA4133">
            <v>32939</v>
          </cell>
        </row>
        <row r="4134">
          <cell r="P4134">
            <v>0</v>
          </cell>
          <cell r="S4134" t="str">
            <v xml:space="preserve">32939 </v>
          </cell>
          <cell r="AA4134">
            <v>32939</v>
          </cell>
        </row>
        <row r="4135">
          <cell r="P4135">
            <v>0</v>
          </cell>
          <cell r="S4135" t="str">
            <v xml:space="preserve">32939 </v>
          </cell>
          <cell r="AA4135">
            <v>32939</v>
          </cell>
        </row>
        <row r="4136">
          <cell r="P4136">
            <v>0</v>
          </cell>
          <cell r="S4136" t="str">
            <v xml:space="preserve">32939 </v>
          </cell>
          <cell r="AA4136">
            <v>32939</v>
          </cell>
        </row>
        <row r="4137">
          <cell r="P4137">
            <v>0</v>
          </cell>
          <cell r="S4137" t="str">
            <v xml:space="preserve">32939 </v>
          </cell>
          <cell r="AA4137">
            <v>32939</v>
          </cell>
        </row>
        <row r="4138">
          <cell r="P4138">
            <v>0</v>
          </cell>
          <cell r="S4138" t="str">
            <v xml:space="preserve">32939 </v>
          </cell>
          <cell r="AA4138">
            <v>32939</v>
          </cell>
        </row>
        <row r="4139">
          <cell r="P4139">
            <v>0</v>
          </cell>
          <cell r="S4139" t="str">
            <v xml:space="preserve">32939 </v>
          </cell>
          <cell r="AA4139">
            <v>32939</v>
          </cell>
        </row>
        <row r="4140">
          <cell r="P4140">
            <v>0</v>
          </cell>
          <cell r="S4140" t="str">
            <v xml:space="preserve">32939 </v>
          </cell>
          <cell r="AA4140">
            <v>32939</v>
          </cell>
        </row>
        <row r="4141">
          <cell r="P4141">
            <v>0</v>
          </cell>
          <cell r="S4141" t="str">
            <v xml:space="preserve">32939 </v>
          </cell>
          <cell r="AA4141">
            <v>32939</v>
          </cell>
        </row>
        <row r="4142">
          <cell r="P4142">
            <v>0</v>
          </cell>
          <cell r="S4142" t="str">
            <v xml:space="preserve">32939 </v>
          </cell>
          <cell r="AA4142">
            <v>32939</v>
          </cell>
        </row>
        <row r="4143">
          <cell r="P4143">
            <v>0</v>
          </cell>
          <cell r="S4143" t="str">
            <v xml:space="preserve">32939 </v>
          </cell>
          <cell r="AA4143">
            <v>32939</v>
          </cell>
        </row>
        <row r="4144">
          <cell r="P4144">
            <v>0</v>
          </cell>
          <cell r="S4144" t="str">
            <v xml:space="preserve">32939 </v>
          </cell>
          <cell r="AA4144">
            <v>32939</v>
          </cell>
        </row>
        <row r="4145">
          <cell r="P4145">
            <v>0</v>
          </cell>
          <cell r="S4145" t="str">
            <v xml:space="preserve">32939 </v>
          </cell>
          <cell r="AA4145">
            <v>32939</v>
          </cell>
        </row>
        <row r="4146">
          <cell r="P4146">
            <v>0</v>
          </cell>
          <cell r="S4146" t="str">
            <v xml:space="preserve">32939 </v>
          </cell>
          <cell r="AA4146">
            <v>32939</v>
          </cell>
        </row>
        <row r="4147">
          <cell r="P4147">
            <v>0</v>
          </cell>
          <cell r="S4147" t="str">
            <v xml:space="preserve">32939 </v>
          </cell>
          <cell r="AA4147">
            <v>32939</v>
          </cell>
        </row>
        <row r="4148">
          <cell r="P4148">
            <v>0</v>
          </cell>
          <cell r="S4148" t="str">
            <v xml:space="preserve">32939 </v>
          </cell>
          <cell r="AA4148">
            <v>32939</v>
          </cell>
        </row>
        <row r="4149">
          <cell r="P4149">
            <v>0</v>
          </cell>
          <cell r="S4149" t="str">
            <v xml:space="preserve">32939 </v>
          </cell>
          <cell r="AA4149">
            <v>32939</v>
          </cell>
        </row>
        <row r="4150">
          <cell r="P4150">
            <v>0</v>
          </cell>
          <cell r="S4150" t="str">
            <v xml:space="preserve">32939 </v>
          </cell>
          <cell r="AA4150">
            <v>32939</v>
          </cell>
        </row>
        <row r="4151">
          <cell r="P4151">
            <v>0</v>
          </cell>
          <cell r="S4151" t="str">
            <v xml:space="preserve">32939 </v>
          </cell>
          <cell r="AA4151">
            <v>32939</v>
          </cell>
        </row>
        <row r="4152">
          <cell r="P4152">
            <v>0</v>
          </cell>
          <cell r="S4152" t="str">
            <v xml:space="preserve">32939 </v>
          </cell>
          <cell r="AA4152">
            <v>32939</v>
          </cell>
        </row>
        <row r="4153">
          <cell r="P4153">
            <v>0</v>
          </cell>
          <cell r="S4153" t="str">
            <v xml:space="preserve">32939 </v>
          </cell>
          <cell r="AA4153">
            <v>32939</v>
          </cell>
        </row>
        <row r="4154">
          <cell r="P4154">
            <v>0</v>
          </cell>
          <cell r="S4154" t="str">
            <v xml:space="preserve">32939 </v>
          </cell>
          <cell r="AA4154">
            <v>32939</v>
          </cell>
        </row>
        <row r="4155">
          <cell r="P4155">
            <v>0</v>
          </cell>
          <cell r="S4155" t="str">
            <v xml:space="preserve">32939 </v>
          </cell>
          <cell r="AA4155">
            <v>32939</v>
          </cell>
        </row>
        <row r="4156">
          <cell r="P4156">
            <v>0</v>
          </cell>
          <cell r="S4156" t="str">
            <v xml:space="preserve">32939 </v>
          </cell>
          <cell r="AA4156">
            <v>32939</v>
          </cell>
        </row>
        <row r="4157">
          <cell r="P4157">
            <v>0</v>
          </cell>
          <cell r="S4157" t="str">
            <v xml:space="preserve">32939 </v>
          </cell>
          <cell r="AA4157">
            <v>32939</v>
          </cell>
        </row>
        <row r="4158">
          <cell r="P4158">
            <v>0</v>
          </cell>
          <cell r="S4158" t="str">
            <v xml:space="preserve">32939 </v>
          </cell>
          <cell r="AA4158">
            <v>32939</v>
          </cell>
        </row>
        <row r="4159">
          <cell r="P4159">
            <v>0</v>
          </cell>
          <cell r="S4159" t="str">
            <v xml:space="preserve">32939 </v>
          </cell>
          <cell r="AA4159">
            <v>32939</v>
          </cell>
        </row>
        <row r="4160">
          <cell r="P4160">
            <v>0</v>
          </cell>
          <cell r="S4160" t="str">
            <v xml:space="preserve">32939 </v>
          </cell>
          <cell r="AA4160">
            <v>32939</v>
          </cell>
        </row>
        <row r="4161">
          <cell r="P4161">
            <v>0</v>
          </cell>
          <cell r="S4161" t="str">
            <v xml:space="preserve">32939 </v>
          </cell>
          <cell r="AA4161">
            <v>32939</v>
          </cell>
        </row>
        <row r="4162">
          <cell r="P4162">
            <v>0</v>
          </cell>
          <cell r="S4162" t="str">
            <v xml:space="preserve">32939 </v>
          </cell>
          <cell r="AA4162">
            <v>32939</v>
          </cell>
        </row>
        <row r="4163">
          <cell r="P4163">
            <v>0</v>
          </cell>
          <cell r="S4163" t="str">
            <v xml:space="preserve">32939 </v>
          </cell>
          <cell r="AA4163">
            <v>32939</v>
          </cell>
        </row>
        <row r="4164">
          <cell r="P4164">
            <v>0</v>
          </cell>
          <cell r="S4164" t="str">
            <v xml:space="preserve">32939 </v>
          </cell>
          <cell r="AA4164">
            <v>32939</v>
          </cell>
        </row>
        <row r="4165">
          <cell r="P4165">
            <v>0</v>
          </cell>
          <cell r="S4165" t="str">
            <v xml:space="preserve">32939 </v>
          </cell>
          <cell r="AA4165">
            <v>32939</v>
          </cell>
        </row>
        <row r="4166">
          <cell r="P4166">
            <v>0</v>
          </cell>
          <cell r="S4166" t="str">
            <v xml:space="preserve">32939 </v>
          </cell>
          <cell r="AA4166">
            <v>32939</v>
          </cell>
        </row>
        <row r="4167">
          <cell r="P4167">
            <v>0</v>
          </cell>
          <cell r="S4167" t="str">
            <v xml:space="preserve">32939 </v>
          </cell>
          <cell r="AA4167">
            <v>32939</v>
          </cell>
        </row>
        <row r="4168">
          <cell r="P4168">
            <v>0</v>
          </cell>
          <cell r="S4168" t="str">
            <v xml:space="preserve">32939 </v>
          </cell>
          <cell r="AA4168">
            <v>32939</v>
          </cell>
        </row>
        <row r="4169">
          <cell r="P4169">
            <v>0</v>
          </cell>
          <cell r="S4169" t="str">
            <v xml:space="preserve">32939 </v>
          </cell>
          <cell r="AA4169">
            <v>32939</v>
          </cell>
        </row>
        <row r="4170">
          <cell r="P4170">
            <v>0</v>
          </cell>
          <cell r="S4170" t="str">
            <v xml:space="preserve">32939 </v>
          </cell>
          <cell r="AA4170">
            <v>32939</v>
          </cell>
        </row>
        <row r="4171">
          <cell r="P4171">
            <v>0</v>
          </cell>
          <cell r="S4171" t="str">
            <v xml:space="preserve">32939 </v>
          </cell>
          <cell r="AA4171">
            <v>32939</v>
          </cell>
        </row>
        <row r="4172">
          <cell r="P4172">
            <v>0</v>
          </cell>
          <cell r="S4172" t="str">
            <v xml:space="preserve">32939 </v>
          </cell>
          <cell r="AA4172">
            <v>32939</v>
          </cell>
        </row>
        <row r="4173">
          <cell r="P4173">
            <v>0</v>
          </cell>
          <cell r="S4173" t="str">
            <v xml:space="preserve">32939 </v>
          </cell>
          <cell r="AA4173">
            <v>32939</v>
          </cell>
        </row>
        <row r="4174">
          <cell r="P4174">
            <v>0</v>
          </cell>
          <cell r="S4174" t="str">
            <v xml:space="preserve">32939 </v>
          </cell>
          <cell r="AA4174">
            <v>32939</v>
          </cell>
        </row>
        <row r="4175">
          <cell r="P4175">
            <v>0</v>
          </cell>
          <cell r="S4175" t="str">
            <v xml:space="preserve">32939 </v>
          </cell>
          <cell r="AA4175">
            <v>32939</v>
          </cell>
        </row>
        <row r="4176">
          <cell r="P4176">
            <v>0</v>
          </cell>
          <cell r="S4176" t="str">
            <v xml:space="preserve">32939 </v>
          </cell>
          <cell r="AA4176">
            <v>32939</v>
          </cell>
        </row>
        <row r="4177">
          <cell r="P4177">
            <v>0</v>
          </cell>
          <cell r="S4177" t="str">
            <v xml:space="preserve">32939 </v>
          </cell>
          <cell r="AA4177">
            <v>32939</v>
          </cell>
        </row>
        <row r="4178">
          <cell r="P4178">
            <v>0</v>
          </cell>
          <cell r="S4178" t="str">
            <v xml:space="preserve">32939 </v>
          </cell>
          <cell r="AA4178">
            <v>32939</v>
          </cell>
        </row>
        <row r="4179">
          <cell r="P4179">
            <v>0</v>
          </cell>
          <cell r="S4179" t="str">
            <v xml:space="preserve">32939 </v>
          </cell>
          <cell r="AA4179">
            <v>32939</v>
          </cell>
        </row>
        <row r="4180">
          <cell r="P4180">
            <v>0</v>
          </cell>
          <cell r="S4180" t="str">
            <v xml:space="preserve">32939 </v>
          </cell>
          <cell r="AA4180">
            <v>32939</v>
          </cell>
        </row>
        <row r="4181">
          <cell r="P4181">
            <v>0</v>
          </cell>
          <cell r="S4181" t="str">
            <v xml:space="preserve">32939 </v>
          </cell>
          <cell r="AA4181">
            <v>32939</v>
          </cell>
        </row>
        <row r="4182">
          <cell r="P4182">
            <v>0</v>
          </cell>
          <cell r="S4182" t="str">
            <v xml:space="preserve">32939 </v>
          </cell>
          <cell r="AA4182">
            <v>32939</v>
          </cell>
        </row>
        <row r="4183">
          <cell r="P4183">
            <v>0</v>
          </cell>
          <cell r="S4183" t="str">
            <v xml:space="preserve">32939 </v>
          </cell>
          <cell r="AA4183">
            <v>32939</v>
          </cell>
        </row>
        <row r="4184">
          <cell r="P4184">
            <v>0</v>
          </cell>
          <cell r="S4184" t="str">
            <v xml:space="preserve">32939 </v>
          </cell>
          <cell r="AA4184">
            <v>32939</v>
          </cell>
        </row>
        <row r="4185">
          <cell r="P4185">
            <v>0</v>
          </cell>
          <cell r="S4185" t="str">
            <v xml:space="preserve">32939 </v>
          </cell>
          <cell r="AA4185">
            <v>32939</v>
          </cell>
        </row>
        <row r="4186">
          <cell r="P4186">
            <v>0</v>
          </cell>
          <cell r="S4186" t="str">
            <v xml:space="preserve">32939 </v>
          </cell>
          <cell r="AA4186">
            <v>32939</v>
          </cell>
        </row>
        <row r="4187">
          <cell r="P4187">
            <v>0</v>
          </cell>
          <cell r="S4187" t="str">
            <v xml:space="preserve">32939 </v>
          </cell>
          <cell r="AA4187">
            <v>32939</v>
          </cell>
        </row>
        <row r="4188">
          <cell r="P4188">
            <v>0</v>
          </cell>
          <cell r="S4188" t="str">
            <v xml:space="preserve">32939 </v>
          </cell>
          <cell r="AA4188">
            <v>32939</v>
          </cell>
        </row>
        <row r="4189">
          <cell r="P4189">
            <v>0</v>
          </cell>
          <cell r="S4189" t="str">
            <v xml:space="preserve">32939 </v>
          </cell>
          <cell r="AA4189">
            <v>32939</v>
          </cell>
        </row>
        <row r="4190">
          <cell r="P4190">
            <v>0</v>
          </cell>
          <cell r="S4190" t="str">
            <v xml:space="preserve">32939 </v>
          </cell>
          <cell r="AA4190">
            <v>32939</v>
          </cell>
        </row>
        <row r="4191">
          <cell r="P4191">
            <v>0</v>
          </cell>
          <cell r="S4191" t="str">
            <v xml:space="preserve">32939 </v>
          </cell>
          <cell r="AA4191">
            <v>32939</v>
          </cell>
        </row>
        <row r="4192">
          <cell r="P4192">
            <v>0</v>
          </cell>
          <cell r="S4192" t="str">
            <v xml:space="preserve">32939 </v>
          </cell>
          <cell r="AA4192">
            <v>32939</v>
          </cell>
        </row>
        <row r="4193">
          <cell r="P4193">
            <v>0</v>
          </cell>
          <cell r="S4193" t="str">
            <v xml:space="preserve">32939 </v>
          </cell>
          <cell r="AA4193">
            <v>32939</v>
          </cell>
        </row>
        <row r="4194">
          <cell r="P4194">
            <v>0</v>
          </cell>
          <cell r="S4194" t="str">
            <v xml:space="preserve">32939 </v>
          </cell>
          <cell r="AA4194">
            <v>32939</v>
          </cell>
        </row>
        <row r="4195">
          <cell r="P4195">
            <v>0</v>
          </cell>
          <cell r="S4195" t="str">
            <v xml:space="preserve">32939 </v>
          </cell>
          <cell r="AA4195">
            <v>32939</v>
          </cell>
        </row>
        <row r="4196">
          <cell r="P4196">
            <v>0</v>
          </cell>
          <cell r="S4196" t="str">
            <v xml:space="preserve">32939 </v>
          </cell>
          <cell r="AA4196">
            <v>32939</v>
          </cell>
        </row>
        <row r="4197">
          <cell r="P4197">
            <v>0</v>
          </cell>
          <cell r="S4197" t="str">
            <v xml:space="preserve">32939 </v>
          </cell>
          <cell r="AA4197">
            <v>32939</v>
          </cell>
        </row>
        <row r="4198">
          <cell r="P4198">
            <v>0</v>
          </cell>
          <cell r="S4198" t="str">
            <v xml:space="preserve">32939 </v>
          </cell>
          <cell r="AA4198">
            <v>32939</v>
          </cell>
        </row>
        <row r="4199">
          <cell r="P4199">
            <v>0</v>
          </cell>
          <cell r="S4199" t="str">
            <v xml:space="preserve">32939 </v>
          </cell>
          <cell r="AA4199">
            <v>32939</v>
          </cell>
        </row>
        <row r="4200">
          <cell r="P4200">
            <v>0</v>
          </cell>
          <cell r="S4200" t="str">
            <v xml:space="preserve">32939 </v>
          </cell>
          <cell r="AA4200">
            <v>32939</v>
          </cell>
        </row>
        <row r="4201">
          <cell r="P4201">
            <v>0</v>
          </cell>
          <cell r="S4201" t="str">
            <v xml:space="preserve">32939 </v>
          </cell>
          <cell r="AA4201">
            <v>32939</v>
          </cell>
        </row>
        <row r="4202">
          <cell r="P4202">
            <v>0</v>
          </cell>
          <cell r="S4202" t="str">
            <v xml:space="preserve">32939 </v>
          </cell>
          <cell r="AA4202">
            <v>32939</v>
          </cell>
        </row>
        <row r="4203">
          <cell r="P4203">
            <v>0</v>
          </cell>
          <cell r="S4203" t="str">
            <v xml:space="preserve">32939 </v>
          </cell>
          <cell r="AA4203">
            <v>32939</v>
          </cell>
        </row>
        <row r="4204">
          <cell r="P4204">
            <v>0</v>
          </cell>
          <cell r="S4204" t="str">
            <v xml:space="preserve">32939 </v>
          </cell>
          <cell r="AA4204">
            <v>32939</v>
          </cell>
        </row>
        <row r="4205">
          <cell r="P4205">
            <v>0</v>
          </cell>
          <cell r="S4205" t="str">
            <v xml:space="preserve">32939 </v>
          </cell>
          <cell r="AA4205">
            <v>32939</v>
          </cell>
        </row>
        <row r="4206">
          <cell r="P4206">
            <v>0</v>
          </cell>
          <cell r="S4206" t="str">
            <v xml:space="preserve">32939 </v>
          </cell>
          <cell r="AA4206">
            <v>32939</v>
          </cell>
        </row>
        <row r="4207">
          <cell r="P4207">
            <v>0</v>
          </cell>
          <cell r="S4207" t="str">
            <v xml:space="preserve">32939 </v>
          </cell>
          <cell r="AA4207">
            <v>32939</v>
          </cell>
        </row>
        <row r="4208">
          <cell r="P4208">
            <v>0</v>
          </cell>
          <cell r="S4208" t="str">
            <v xml:space="preserve">32939 </v>
          </cell>
          <cell r="AA4208">
            <v>32939</v>
          </cell>
        </row>
        <row r="4209">
          <cell r="P4209">
            <v>0</v>
          </cell>
          <cell r="S4209" t="str">
            <v xml:space="preserve">32939 </v>
          </cell>
          <cell r="AA4209">
            <v>32939</v>
          </cell>
        </row>
        <row r="4210">
          <cell r="P4210">
            <v>0</v>
          </cell>
          <cell r="S4210" t="str">
            <v xml:space="preserve">32939 </v>
          </cell>
          <cell r="AA4210">
            <v>32939</v>
          </cell>
        </row>
        <row r="4211">
          <cell r="P4211">
            <v>0</v>
          </cell>
          <cell r="S4211" t="str">
            <v xml:space="preserve">32939 </v>
          </cell>
          <cell r="AA4211">
            <v>32939</v>
          </cell>
        </row>
        <row r="4212">
          <cell r="P4212">
            <v>0</v>
          </cell>
          <cell r="S4212" t="str">
            <v xml:space="preserve">32939 </v>
          </cell>
          <cell r="AA4212">
            <v>32939</v>
          </cell>
        </row>
        <row r="4213">
          <cell r="P4213">
            <v>0</v>
          </cell>
          <cell r="S4213" t="str">
            <v xml:space="preserve">32939 </v>
          </cell>
          <cell r="AA4213">
            <v>32939</v>
          </cell>
        </row>
        <row r="4214">
          <cell r="P4214">
            <v>0</v>
          </cell>
          <cell r="S4214" t="str">
            <v xml:space="preserve">32939 </v>
          </cell>
          <cell r="AA4214">
            <v>32939</v>
          </cell>
        </row>
        <row r="4215">
          <cell r="P4215">
            <v>0</v>
          </cell>
          <cell r="S4215" t="str">
            <v xml:space="preserve">32939 </v>
          </cell>
          <cell r="AA4215">
            <v>32939</v>
          </cell>
        </row>
        <row r="4216">
          <cell r="P4216">
            <v>0</v>
          </cell>
          <cell r="S4216" t="str">
            <v xml:space="preserve">32939 </v>
          </cell>
          <cell r="AA4216">
            <v>32939</v>
          </cell>
        </row>
        <row r="4217">
          <cell r="P4217">
            <v>0</v>
          </cell>
          <cell r="S4217" t="str">
            <v xml:space="preserve">32939 </v>
          </cell>
          <cell r="AA4217">
            <v>32939</v>
          </cell>
        </row>
        <row r="4218">
          <cell r="P4218">
            <v>0</v>
          </cell>
          <cell r="S4218" t="str">
            <v xml:space="preserve">32939 </v>
          </cell>
          <cell r="AA4218">
            <v>32939</v>
          </cell>
        </row>
        <row r="4219">
          <cell r="P4219">
            <v>0</v>
          </cell>
          <cell r="S4219" t="str">
            <v xml:space="preserve">32939 </v>
          </cell>
          <cell r="AA4219">
            <v>32939</v>
          </cell>
        </row>
        <row r="4220">
          <cell r="P4220">
            <v>0</v>
          </cell>
          <cell r="S4220" t="str">
            <v xml:space="preserve">32939 </v>
          </cell>
          <cell r="AA4220">
            <v>32939</v>
          </cell>
        </row>
        <row r="4221">
          <cell r="P4221">
            <v>0</v>
          </cell>
          <cell r="S4221" t="str">
            <v xml:space="preserve">32939 </v>
          </cell>
          <cell r="AA4221">
            <v>32939</v>
          </cell>
        </row>
        <row r="4222">
          <cell r="P4222">
            <v>0</v>
          </cell>
          <cell r="S4222" t="str">
            <v xml:space="preserve">32939 </v>
          </cell>
          <cell r="AA4222">
            <v>32939</v>
          </cell>
        </row>
        <row r="4223">
          <cell r="P4223">
            <v>0</v>
          </cell>
          <cell r="S4223" t="str">
            <v xml:space="preserve">32939 </v>
          </cell>
          <cell r="AA4223">
            <v>32939</v>
          </cell>
        </row>
        <row r="4224">
          <cell r="P4224">
            <v>0</v>
          </cell>
          <cell r="S4224" t="str">
            <v xml:space="preserve">32939 </v>
          </cell>
          <cell r="AA4224">
            <v>32939</v>
          </cell>
        </row>
        <row r="4225">
          <cell r="P4225">
            <v>0</v>
          </cell>
          <cell r="S4225" t="str">
            <v xml:space="preserve">32939 </v>
          </cell>
          <cell r="AA4225">
            <v>32939</v>
          </cell>
        </row>
        <row r="4226">
          <cell r="P4226">
            <v>0</v>
          </cell>
          <cell r="S4226" t="str">
            <v xml:space="preserve">32939 </v>
          </cell>
          <cell r="AA4226">
            <v>32939</v>
          </cell>
        </row>
        <row r="4227">
          <cell r="P4227">
            <v>0</v>
          </cell>
          <cell r="S4227" t="str">
            <v xml:space="preserve">32939 </v>
          </cell>
          <cell r="AA4227">
            <v>32939</v>
          </cell>
        </row>
        <row r="4228">
          <cell r="P4228">
            <v>0</v>
          </cell>
          <cell r="S4228" t="str">
            <v xml:space="preserve">32939 </v>
          </cell>
          <cell r="AA4228">
            <v>32939</v>
          </cell>
        </row>
        <row r="4229">
          <cell r="P4229">
            <v>0</v>
          </cell>
          <cell r="S4229" t="str">
            <v xml:space="preserve">32939 </v>
          </cell>
          <cell r="AA4229">
            <v>32939</v>
          </cell>
        </row>
        <row r="4230">
          <cell r="P4230">
            <v>0</v>
          </cell>
          <cell r="S4230" t="str">
            <v xml:space="preserve">32939 </v>
          </cell>
          <cell r="AA4230">
            <v>32939</v>
          </cell>
        </row>
        <row r="4231">
          <cell r="P4231">
            <v>0</v>
          </cell>
          <cell r="S4231" t="str">
            <v xml:space="preserve">32939 </v>
          </cell>
          <cell r="AA4231">
            <v>32939</v>
          </cell>
        </row>
        <row r="4232">
          <cell r="P4232">
            <v>0</v>
          </cell>
          <cell r="S4232" t="str">
            <v xml:space="preserve">32939 </v>
          </cell>
          <cell r="AA4232">
            <v>32939</v>
          </cell>
        </row>
        <row r="4233">
          <cell r="P4233">
            <v>0</v>
          </cell>
          <cell r="S4233" t="str">
            <v xml:space="preserve">32939 </v>
          </cell>
          <cell r="AA4233">
            <v>32939</v>
          </cell>
        </row>
        <row r="4234">
          <cell r="P4234">
            <v>0</v>
          </cell>
          <cell r="S4234" t="str">
            <v xml:space="preserve">32939 </v>
          </cell>
          <cell r="AA4234">
            <v>32939</v>
          </cell>
        </row>
        <row r="4235">
          <cell r="P4235">
            <v>0</v>
          </cell>
          <cell r="S4235" t="str">
            <v xml:space="preserve">32939 </v>
          </cell>
          <cell r="AA4235">
            <v>32939</v>
          </cell>
        </row>
        <row r="4236">
          <cell r="P4236">
            <v>0</v>
          </cell>
          <cell r="S4236" t="str">
            <v xml:space="preserve">32939 </v>
          </cell>
          <cell r="AA4236">
            <v>32939</v>
          </cell>
        </row>
        <row r="4237">
          <cell r="P4237">
            <v>0</v>
          </cell>
          <cell r="S4237" t="str">
            <v xml:space="preserve">32939 </v>
          </cell>
          <cell r="AA4237">
            <v>32939</v>
          </cell>
        </row>
        <row r="4238">
          <cell r="P4238">
            <v>0</v>
          </cell>
          <cell r="S4238" t="str">
            <v xml:space="preserve">32939 </v>
          </cell>
          <cell r="AA4238">
            <v>32939</v>
          </cell>
        </row>
        <row r="4239">
          <cell r="P4239">
            <v>0</v>
          </cell>
          <cell r="S4239" t="str">
            <v xml:space="preserve">32939 </v>
          </cell>
          <cell r="AA4239">
            <v>32939</v>
          </cell>
        </row>
        <row r="4240">
          <cell r="P4240">
            <v>0</v>
          </cell>
          <cell r="S4240" t="str">
            <v xml:space="preserve">32939 </v>
          </cell>
          <cell r="AA4240">
            <v>32939</v>
          </cell>
        </row>
        <row r="4241">
          <cell r="P4241">
            <v>0</v>
          </cell>
          <cell r="S4241" t="str">
            <v xml:space="preserve">32939 </v>
          </cell>
          <cell r="AA4241">
            <v>32939</v>
          </cell>
        </row>
        <row r="4242">
          <cell r="P4242">
            <v>0</v>
          </cell>
          <cell r="S4242" t="str">
            <v xml:space="preserve">32939 </v>
          </cell>
          <cell r="AA4242">
            <v>32939</v>
          </cell>
        </row>
        <row r="4243">
          <cell r="P4243">
            <v>0</v>
          </cell>
          <cell r="S4243" t="str">
            <v xml:space="preserve">32939 </v>
          </cell>
          <cell r="AA4243">
            <v>32939</v>
          </cell>
        </row>
        <row r="4244">
          <cell r="P4244">
            <v>0</v>
          </cell>
          <cell r="S4244" t="str">
            <v xml:space="preserve">32939 </v>
          </cell>
          <cell r="AA4244">
            <v>32939</v>
          </cell>
        </row>
        <row r="4245">
          <cell r="P4245">
            <v>0</v>
          </cell>
          <cell r="S4245" t="str">
            <v xml:space="preserve">32939 </v>
          </cell>
          <cell r="AA4245">
            <v>32939</v>
          </cell>
        </row>
        <row r="4246">
          <cell r="P4246">
            <v>0</v>
          </cell>
          <cell r="S4246" t="str">
            <v xml:space="preserve">32939 </v>
          </cell>
          <cell r="AA4246">
            <v>32939</v>
          </cell>
        </row>
        <row r="4247">
          <cell r="P4247">
            <v>0</v>
          </cell>
          <cell r="S4247" t="str">
            <v xml:space="preserve">32939 </v>
          </cell>
          <cell r="AA4247">
            <v>32939</v>
          </cell>
        </row>
        <row r="4248">
          <cell r="P4248">
            <v>0</v>
          </cell>
          <cell r="S4248" t="str">
            <v xml:space="preserve">32939 </v>
          </cell>
          <cell r="AA4248">
            <v>32939</v>
          </cell>
        </row>
        <row r="4249">
          <cell r="P4249">
            <v>0</v>
          </cell>
          <cell r="S4249" t="str">
            <v xml:space="preserve">32939 </v>
          </cell>
          <cell r="AA4249">
            <v>32939</v>
          </cell>
        </row>
        <row r="4250">
          <cell r="P4250">
            <v>0</v>
          </cell>
          <cell r="S4250" t="str">
            <v xml:space="preserve">32939 </v>
          </cell>
          <cell r="AA4250">
            <v>32939</v>
          </cell>
        </row>
        <row r="4251">
          <cell r="P4251">
            <v>0</v>
          </cell>
          <cell r="S4251" t="str">
            <v xml:space="preserve">32939 </v>
          </cell>
          <cell r="AA4251">
            <v>32939</v>
          </cell>
        </row>
        <row r="4252">
          <cell r="P4252">
            <v>0</v>
          </cell>
          <cell r="S4252" t="str">
            <v xml:space="preserve">32939 </v>
          </cell>
          <cell r="AA4252">
            <v>32939</v>
          </cell>
        </row>
        <row r="4253">
          <cell r="P4253">
            <v>0</v>
          </cell>
          <cell r="S4253" t="str">
            <v xml:space="preserve">32939 </v>
          </cell>
          <cell r="AA4253">
            <v>32939</v>
          </cell>
        </row>
        <row r="4254">
          <cell r="P4254">
            <v>0</v>
          </cell>
          <cell r="S4254" t="str">
            <v xml:space="preserve">32939 </v>
          </cell>
          <cell r="AA4254">
            <v>32939</v>
          </cell>
        </row>
        <row r="4255">
          <cell r="P4255">
            <v>0</v>
          </cell>
          <cell r="S4255" t="str">
            <v xml:space="preserve">32939 </v>
          </cell>
          <cell r="AA4255">
            <v>32939</v>
          </cell>
        </row>
        <row r="4256">
          <cell r="P4256">
            <v>0</v>
          </cell>
          <cell r="S4256" t="str">
            <v xml:space="preserve">32939 </v>
          </cell>
          <cell r="AA4256">
            <v>32939</v>
          </cell>
        </row>
        <row r="4257">
          <cell r="P4257">
            <v>0</v>
          </cell>
          <cell r="S4257" t="str">
            <v xml:space="preserve">32939 </v>
          </cell>
          <cell r="AA4257">
            <v>32939</v>
          </cell>
        </row>
        <row r="4258">
          <cell r="P4258">
            <v>0</v>
          </cell>
          <cell r="S4258" t="str">
            <v xml:space="preserve">32939 </v>
          </cell>
          <cell r="AA4258">
            <v>32939</v>
          </cell>
        </row>
        <row r="4259">
          <cell r="P4259">
            <v>0</v>
          </cell>
          <cell r="S4259" t="str">
            <v xml:space="preserve">32939 </v>
          </cell>
          <cell r="AA4259">
            <v>32939</v>
          </cell>
        </row>
        <row r="4260">
          <cell r="P4260">
            <v>0</v>
          </cell>
          <cell r="S4260" t="str">
            <v xml:space="preserve">32939 </v>
          </cell>
          <cell r="AA4260">
            <v>32939</v>
          </cell>
        </row>
        <row r="4261">
          <cell r="P4261">
            <v>0</v>
          </cell>
          <cell r="S4261" t="str">
            <v xml:space="preserve">32939 </v>
          </cell>
          <cell r="AA4261">
            <v>32939</v>
          </cell>
        </row>
        <row r="4262">
          <cell r="P4262">
            <v>0</v>
          </cell>
          <cell r="S4262" t="str">
            <v xml:space="preserve">32939 </v>
          </cell>
          <cell r="AA4262">
            <v>32939</v>
          </cell>
        </row>
        <row r="4263">
          <cell r="P4263">
            <v>0</v>
          </cell>
          <cell r="S4263" t="str">
            <v xml:space="preserve">32939 </v>
          </cell>
          <cell r="AA4263">
            <v>32939</v>
          </cell>
        </row>
        <row r="4264">
          <cell r="P4264">
            <v>0</v>
          </cell>
          <cell r="S4264" t="str">
            <v xml:space="preserve">32939 </v>
          </cell>
          <cell r="AA4264">
            <v>32939</v>
          </cell>
        </row>
        <row r="4265">
          <cell r="P4265">
            <v>0</v>
          </cell>
          <cell r="S4265" t="str">
            <v xml:space="preserve">32939 </v>
          </cell>
          <cell r="AA4265">
            <v>32939</v>
          </cell>
        </row>
        <row r="4266">
          <cell r="P4266">
            <v>0</v>
          </cell>
          <cell r="S4266" t="str">
            <v xml:space="preserve">32939 </v>
          </cell>
          <cell r="AA4266">
            <v>32939</v>
          </cell>
        </row>
        <row r="4267">
          <cell r="P4267">
            <v>0</v>
          </cell>
          <cell r="S4267" t="str">
            <v xml:space="preserve">32939 </v>
          </cell>
          <cell r="AA4267">
            <v>32939</v>
          </cell>
        </row>
        <row r="4268">
          <cell r="P4268">
            <v>0</v>
          </cell>
          <cell r="S4268" t="str">
            <v xml:space="preserve">32939 </v>
          </cell>
          <cell r="AA4268">
            <v>32939</v>
          </cell>
        </row>
        <row r="4269">
          <cell r="P4269">
            <v>0</v>
          </cell>
          <cell r="S4269" t="str">
            <v xml:space="preserve">32939 </v>
          </cell>
          <cell r="AA4269">
            <v>32939</v>
          </cell>
        </row>
        <row r="4270">
          <cell r="P4270">
            <v>0</v>
          </cell>
          <cell r="S4270" t="str">
            <v xml:space="preserve">32939 </v>
          </cell>
          <cell r="AA4270">
            <v>32939</v>
          </cell>
        </row>
        <row r="4271">
          <cell r="P4271">
            <v>0</v>
          </cell>
          <cell r="S4271" t="str">
            <v xml:space="preserve">32939 </v>
          </cell>
          <cell r="AA4271">
            <v>32939</v>
          </cell>
        </row>
        <row r="4272">
          <cell r="P4272">
            <v>0</v>
          </cell>
          <cell r="S4272" t="str">
            <v xml:space="preserve">32939 </v>
          </cell>
          <cell r="AA4272">
            <v>32939</v>
          </cell>
        </row>
        <row r="4273">
          <cell r="P4273">
            <v>0</v>
          </cell>
          <cell r="S4273" t="str">
            <v xml:space="preserve">32939 </v>
          </cell>
          <cell r="AA4273">
            <v>32939</v>
          </cell>
        </row>
        <row r="4274">
          <cell r="P4274">
            <v>0</v>
          </cell>
          <cell r="S4274" t="str">
            <v xml:space="preserve">32939 </v>
          </cell>
          <cell r="AA4274">
            <v>32939</v>
          </cell>
        </row>
        <row r="4275">
          <cell r="P4275">
            <v>0</v>
          </cell>
          <cell r="S4275" t="str">
            <v xml:space="preserve">32939 </v>
          </cell>
          <cell r="AA4275">
            <v>32939</v>
          </cell>
        </row>
        <row r="4276">
          <cell r="P4276">
            <v>0</v>
          </cell>
          <cell r="S4276" t="str">
            <v xml:space="preserve">32939 </v>
          </cell>
          <cell r="AA4276">
            <v>32939</v>
          </cell>
        </row>
        <row r="4277">
          <cell r="P4277">
            <v>0</v>
          </cell>
          <cell r="S4277" t="str">
            <v xml:space="preserve">32939 </v>
          </cell>
          <cell r="AA4277">
            <v>32939</v>
          </cell>
        </row>
        <row r="4278">
          <cell r="P4278">
            <v>0</v>
          </cell>
          <cell r="S4278" t="str">
            <v xml:space="preserve">32939 </v>
          </cell>
          <cell r="AA4278">
            <v>32939</v>
          </cell>
        </row>
        <row r="4279">
          <cell r="P4279">
            <v>0</v>
          </cell>
          <cell r="S4279" t="str">
            <v xml:space="preserve">32939 </v>
          </cell>
          <cell r="AA4279">
            <v>32939</v>
          </cell>
        </row>
        <row r="4280">
          <cell r="P4280">
            <v>0</v>
          </cell>
          <cell r="S4280" t="str">
            <v xml:space="preserve">32939 </v>
          </cell>
          <cell r="AA4280">
            <v>32939</v>
          </cell>
        </row>
        <row r="4281">
          <cell r="P4281">
            <v>0</v>
          </cell>
          <cell r="S4281" t="str">
            <v xml:space="preserve">32939 </v>
          </cell>
          <cell r="AA4281">
            <v>32939</v>
          </cell>
        </row>
        <row r="4282">
          <cell r="P4282">
            <v>0</v>
          </cell>
          <cell r="S4282" t="str">
            <v xml:space="preserve">32939 </v>
          </cell>
          <cell r="AA4282">
            <v>32939</v>
          </cell>
        </row>
        <row r="4283">
          <cell r="P4283">
            <v>0</v>
          </cell>
          <cell r="S4283" t="str">
            <v xml:space="preserve">32939 </v>
          </cell>
          <cell r="AA4283">
            <v>32939</v>
          </cell>
        </row>
        <row r="4284">
          <cell r="P4284">
            <v>0</v>
          </cell>
          <cell r="S4284" t="str">
            <v xml:space="preserve">32939 </v>
          </cell>
          <cell r="AA4284">
            <v>32939</v>
          </cell>
        </row>
        <row r="4285">
          <cell r="P4285">
            <v>0</v>
          </cell>
          <cell r="S4285" t="str">
            <v xml:space="preserve">32939 </v>
          </cell>
          <cell r="AA4285">
            <v>32939</v>
          </cell>
        </row>
        <row r="4286">
          <cell r="P4286">
            <v>0</v>
          </cell>
          <cell r="S4286" t="str">
            <v xml:space="preserve">32939 </v>
          </cell>
          <cell r="AA4286">
            <v>32939</v>
          </cell>
        </row>
        <row r="4287">
          <cell r="P4287">
            <v>0</v>
          </cell>
          <cell r="S4287" t="str">
            <v xml:space="preserve">32939 </v>
          </cell>
          <cell r="AA4287">
            <v>32939</v>
          </cell>
        </row>
        <row r="4288">
          <cell r="P4288">
            <v>0</v>
          </cell>
          <cell r="S4288" t="str">
            <v xml:space="preserve">32939 </v>
          </cell>
          <cell r="AA4288">
            <v>32939</v>
          </cell>
        </row>
        <row r="4289">
          <cell r="P4289">
            <v>0</v>
          </cell>
          <cell r="S4289" t="str">
            <v xml:space="preserve">32939 </v>
          </cell>
          <cell r="AA4289">
            <v>32939</v>
          </cell>
        </row>
        <row r="4290">
          <cell r="P4290">
            <v>0</v>
          </cell>
          <cell r="S4290" t="str">
            <v xml:space="preserve">32939 </v>
          </cell>
          <cell r="AA4290">
            <v>32939</v>
          </cell>
        </row>
        <row r="4291">
          <cell r="P4291">
            <v>0</v>
          </cell>
          <cell r="S4291" t="str">
            <v xml:space="preserve">32939 </v>
          </cell>
          <cell r="AA4291">
            <v>32939</v>
          </cell>
        </row>
        <row r="4292">
          <cell r="P4292">
            <v>0</v>
          </cell>
          <cell r="S4292" t="str">
            <v xml:space="preserve">32939 </v>
          </cell>
          <cell r="AA4292">
            <v>32939</v>
          </cell>
        </row>
        <row r="4293">
          <cell r="P4293">
            <v>0</v>
          </cell>
          <cell r="S4293" t="str">
            <v xml:space="preserve">32939 </v>
          </cell>
          <cell r="AA4293">
            <v>32939</v>
          </cell>
        </row>
        <row r="4294">
          <cell r="P4294">
            <v>0</v>
          </cell>
          <cell r="S4294" t="str">
            <v xml:space="preserve">32939 </v>
          </cell>
          <cell r="AA4294">
            <v>32939</v>
          </cell>
        </row>
        <row r="4295">
          <cell r="P4295">
            <v>0</v>
          </cell>
          <cell r="S4295" t="str">
            <v xml:space="preserve">32939 </v>
          </cell>
          <cell r="AA4295">
            <v>32939</v>
          </cell>
        </row>
        <row r="4296">
          <cell r="P4296">
            <v>0</v>
          </cell>
          <cell r="S4296" t="str">
            <v xml:space="preserve">32939 </v>
          </cell>
          <cell r="AA4296">
            <v>32939</v>
          </cell>
        </row>
        <row r="4297">
          <cell r="P4297">
            <v>0</v>
          </cell>
          <cell r="S4297" t="str">
            <v xml:space="preserve">32939 </v>
          </cell>
          <cell r="AA4297">
            <v>32939</v>
          </cell>
        </row>
        <row r="4298">
          <cell r="P4298">
            <v>0</v>
          </cell>
          <cell r="S4298" t="str">
            <v xml:space="preserve">32939 </v>
          </cell>
          <cell r="AA4298">
            <v>32939</v>
          </cell>
        </row>
        <row r="4299">
          <cell r="P4299">
            <v>0</v>
          </cell>
          <cell r="S4299" t="str">
            <v xml:space="preserve">32939 </v>
          </cell>
          <cell r="AA4299">
            <v>32939</v>
          </cell>
        </row>
        <row r="4300">
          <cell r="P4300">
            <v>0</v>
          </cell>
          <cell r="S4300" t="str">
            <v xml:space="preserve">32939 </v>
          </cell>
          <cell r="AA4300">
            <v>32939</v>
          </cell>
        </row>
        <row r="4301">
          <cell r="P4301">
            <v>0</v>
          </cell>
          <cell r="S4301" t="str">
            <v xml:space="preserve">32939 </v>
          </cell>
          <cell r="AA4301">
            <v>32939</v>
          </cell>
        </row>
        <row r="4302">
          <cell r="P4302">
            <v>0</v>
          </cell>
          <cell r="S4302" t="str">
            <v xml:space="preserve">32939 </v>
          </cell>
          <cell r="AA4302">
            <v>32939</v>
          </cell>
        </row>
        <row r="4303">
          <cell r="P4303">
            <v>0</v>
          </cell>
          <cell r="S4303" t="str">
            <v xml:space="preserve">32939 </v>
          </cell>
          <cell r="AA4303">
            <v>32939</v>
          </cell>
        </row>
        <row r="4304">
          <cell r="P4304">
            <v>0</v>
          </cell>
          <cell r="S4304" t="str">
            <v xml:space="preserve">32939 </v>
          </cell>
          <cell r="AA4304">
            <v>32939</v>
          </cell>
        </row>
        <row r="4305">
          <cell r="P4305">
            <v>0</v>
          </cell>
          <cell r="S4305" t="str">
            <v xml:space="preserve">32939 </v>
          </cell>
          <cell r="AA4305">
            <v>32939</v>
          </cell>
        </row>
        <row r="4306">
          <cell r="P4306">
            <v>0</v>
          </cell>
          <cell r="S4306" t="str">
            <v xml:space="preserve">32939 </v>
          </cell>
          <cell r="AA4306">
            <v>32939</v>
          </cell>
        </row>
        <row r="4307">
          <cell r="P4307">
            <v>0</v>
          </cell>
          <cell r="S4307" t="str">
            <v xml:space="preserve">32939 </v>
          </cell>
          <cell r="AA4307">
            <v>32939</v>
          </cell>
        </row>
        <row r="4308">
          <cell r="P4308">
            <v>0</v>
          </cell>
          <cell r="S4308" t="str">
            <v xml:space="preserve">32939 </v>
          </cell>
          <cell r="AA4308">
            <v>32939</v>
          </cell>
        </row>
        <row r="4309">
          <cell r="P4309">
            <v>0</v>
          </cell>
          <cell r="S4309" t="str">
            <v xml:space="preserve">32939 </v>
          </cell>
          <cell r="AA4309">
            <v>32939</v>
          </cell>
        </row>
        <row r="4310">
          <cell r="P4310">
            <v>0</v>
          </cell>
          <cell r="S4310" t="str">
            <v xml:space="preserve">32939 </v>
          </cell>
          <cell r="AA4310">
            <v>32939</v>
          </cell>
        </row>
        <row r="4311">
          <cell r="P4311">
            <v>0</v>
          </cell>
          <cell r="S4311" t="str">
            <v xml:space="preserve">32939 </v>
          </cell>
          <cell r="AA4311">
            <v>32939</v>
          </cell>
        </row>
        <row r="4312">
          <cell r="P4312">
            <v>0</v>
          </cell>
          <cell r="S4312" t="str">
            <v xml:space="preserve">32939 </v>
          </cell>
          <cell r="AA4312">
            <v>32939</v>
          </cell>
        </row>
        <row r="4313">
          <cell r="P4313">
            <v>0</v>
          </cell>
          <cell r="S4313" t="str">
            <v xml:space="preserve">32939 </v>
          </cell>
          <cell r="AA4313">
            <v>32939</v>
          </cell>
        </row>
        <row r="4314">
          <cell r="P4314">
            <v>0</v>
          </cell>
          <cell r="S4314" t="str">
            <v xml:space="preserve">32939 </v>
          </cell>
          <cell r="AA4314">
            <v>32939</v>
          </cell>
        </row>
        <row r="4315">
          <cell r="P4315">
            <v>0</v>
          </cell>
          <cell r="S4315" t="str">
            <v xml:space="preserve">32939 </v>
          </cell>
          <cell r="AA4315">
            <v>32939</v>
          </cell>
        </row>
        <row r="4316">
          <cell r="P4316">
            <v>0</v>
          </cell>
          <cell r="S4316" t="str">
            <v xml:space="preserve">32939 </v>
          </cell>
          <cell r="AA4316">
            <v>32939</v>
          </cell>
        </row>
        <row r="4317">
          <cell r="P4317">
            <v>0</v>
          </cell>
          <cell r="S4317" t="str">
            <v xml:space="preserve">32939 </v>
          </cell>
          <cell r="AA4317">
            <v>32939</v>
          </cell>
        </row>
        <row r="4318">
          <cell r="P4318">
            <v>0</v>
          </cell>
          <cell r="S4318" t="str">
            <v xml:space="preserve">32939 </v>
          </cell>
          <cell r="AA4318">
            <v>32939</v>
          </cell>
        </row>
        <row r="4319">
          <cell r="P4319">
            <v>0</v>
          </cell>
          <cell r="S4319" t="str">
            <v xml:space="preserve">32939 </v>
          </cell>
          <cell r="AA4319">
            <v>32939</v>
          </cell>
        </row>
        <row r="4320">
          <cell r="P4320">
            <v>0</v>
          </cell>
          <cell r="S4320" t="str">
            <v xml:space="preserve">32939 </v>
          </cell>
          <cell r="AA4320">
            <v>32939</v>
          </cell>
        </row>
        <row r="4321">
          <cell r="P4321">
            <v>0</v>
          </cell>
          <cell r="S4321" t="str">
            <v xml:space="preserve">32939 </v>
          </cell>
          <cell r="AA4321">
            <v>32939</v>
          </cell>
        </row>
        <row r="4322">
          <cell r="P4322">
            <v>0</v>
          </cell>
          <cell r="S4322" t="str">
            <v xml:space="preserve">32939 </v>
          </cell>
          <cell r="AA4322">
            <v>32939</v>
          </cell>
        </row>
        <row r="4323">
          <cell r="P4323">
            <v>0</v>
          </cell>
          <cell r="S4323" t="str">
            <v xml:space="preserve">32939 </v>
          </cell>
          <cell r="AA4323">
            <v>32939</v>
          </cell>
        </row>
        <row r="4324">
          <cell r="P4324">
            <v>0</v>
          </cell>
          <cell r="S4324" t="str">
            <v xml:space="preserve">32939 </v>
          </cell>
          <cell r="AA4324">
            <v>32939</v>
          </cell>
        </row>
        <row r="4325">
          <cell r="P4325">
            <v>0</v>
          </cell>
          <cell r="S4325" t="str">
            <v xml:space="preserve">32939 </v>
          </cell>
          <cell r="AA4325">
            <v>32939</v>
          </cell>
        </row>
        <row r="4326">
          <cell r="P4326">
            <v>0</v>
          </cell>
          <cell r="S4326" t="str">
            <v xml:space="preserve">32939 </v>
          </cell>
          <cell r="AA4326">
            <v>32939</v>
          </cell>
        </row>
        <row r="4327">
          <cell r="P4327">
            <v>0</v>
          </cell>
          <cell r="S4327" t="str">
            <v xml:space="preserve">32939 </v>
          </cell>
          <cell r="AA4327">
            <v>32939</v>
          </cell>
        </row>
        <row r="4328">
          <cell r="P4328">
            <v>0</v>
          </cell>
          <cell r="S4328" t="str">
            <v xml:space="preserve">32939 </v>
          </cell>
          <cell r="AA4328">
            <v>32939</v>
          </cell>
        </row>
        <row r="4329">
          <cell r="P4329">
            <v>0</v>
          </cell>
          <cell r="S4329" t="str">
            <v xml:space="preserve">32939 </v>
          </cell>
          <cell r="AA4329">
            <v>32939</v>
          </cell>
        </row>
        <row r="4330">
          <cell r="P4330">
            <v>0</v>
          </cell>
          <cell r="S4330" t="str">
            <v xml:space="preserve">32939 </v>
          </cell>
          <cell r="AA4330">
            <v>32939</v>
          </cell>
        </row>
        <row r="4331">
          <cell r="P4331">
            <v>0</v>
          </cell>
          <cell r="S4331" t="str">
            <v xml:space="preserve">32939 </v>
          </cell>
          <cell r="AA4331">
            <v>32939</v>
          </cell>
        </row>
        <row r="4332">
          <cell r="P4332">
            <v>0</v>
          </cell>
          <cell r="S4332" t="str">
            <v xml:space="preserve">32939 </v>
          </cell>
          <cell r="AA4332">
            <v>32939</v>
          </cell>
        </row>
        <row r="4333">
          <cell r="P4333">
            <v>0</v>
          </cell>
          <cell r="S4333" t="str">
            <v xml:space="preserve">32939 </v>
          </cell>
          <cell r="AA4333">
            <v>32939</v>
          </cell>
        </row>
        <row r="4334">
          <cell r="P4334">
            <v>0</v>
          </cell>
          <cell r="S4334" t="str">
            <v xml:space="preserve">32939 </v>
          </cell>
          <cell r="AA4334">
            <v>32939</v>
          </cell>
        </row>
        <row r="4335">
          <cell r="P4335">
            <v>0</v>
          </cell>
          <cell r="S4335" t="str">
            <v xml:space="preserve">32939 </v>
          </cell>
          <cell r="AA4335">
            <v>32939</v>
          </cell>
        </row>
        <row r="4336">
          <cell r="P4336">
            <v>0</v>
          </cell>
          <cell r="S4336" t="str">
            <v xml:space="preserve">32939 </v>
          </cell>
          <cell r="AA4336">
            <v>32939</v>
          </cell>
        </row>
        <row r="4337">
          <cell r="P4337">
            <v>0</v>
          </cell>
          <cell r="S4337" t="str">
            <v xml:space="preserve">32939 </v>
          </cell>
          <cell r="AA4337">
            <v>32939</v>
          </cell>
        </row>
        <row r="4338">
          <cell r="P4338">
            <v>0</v>
          </cell>
          <cell r="S4338" t="str">
            <v xml:space="preserve">32939 </v>
          </cell>
          <cell r="AA4338">
            <v>32939</v>
          </cell>
        </row>
        <row r="4339">
          <cell r="P4339">
            <v>0</v>
          </cell>
          <cell r="S4339" t="str">
            <v xml:space="preserve">32939 </v>
          </cell>
          <cell r="AA4339">
            <v>32939</v>
          </cell>
        </row>
        <row r="4340">
          <cell r="P4340">
            <v>0</v>
          </cell>
          <cell r="S4340" t="str">
            <v xml:space="preserve">32939 </v>
          </cell>
          <cell r="AA4340">
            <v>32939</v>
          </cell>
        </row>
        <row r="4341">
          <cell r="P4341">
            <v>0</v>
          </cell>
          <cell r="S4341" t="str">
            <v xml:space="preserve">32939 </v>
          </cell>
          <cell r="AA4341">
            <v>32939</v>
          </cell>
        </row>
        <row r="4342">
          <cell r="P4342">
            <v>0</v>
          </cell>
          <cell r="S4342" t="str">
            <v xml:space="preserve">32939 </v>
          </cell>
          <cell r="AA4342">
            <v>32939</v>
          </cell>
        </row>
        <row r="4343">
          <cell r="P4343">
            <v>0</v>
          </cell>
          <cell r="S4343" t="str">
            <v xml:space="preserve">32939 </v>
          </cell>
          <cell r="AA4343">
            <v>32939</v>
          </cell>
        </row>
        <row r="4344">
          <cell r="P4344">
            <v>0</v>
          </cell>
          <cell r="S4344" t="str">
            <v xml:space="preserve">32939 </v>
          </cell>
          <cell r="AA4344">
            <v>32939</v>
          </cell>
        </row>
        <row r="4345">
          <cell r="P4345">
            <v>0</v>
          </cell>
          <cell r="S4345" t="str">
            <v xml:space="preserve">32939 </v>
          </cell>
          <cell r="AA4345">
            <v>32939</v>
          </cell>
        </row>
        <row r="4346">
          <cell r="P4346">
            <v>0</v>
          </cell>
          <cell r="S4346" t="str">
            <v xml:space="preserve">32939 </v>
          </cell>
          <cell r="AA4346">
            <v>32939</v>
          </cell>
        </row>
        <row r="4347">
          <cell r="P4347">
            <v>0</v>
          </cell>
          <cell r="S4347" t="str">
            <v xml:space="preserve">32939 </v>
          </cell>
          <cell r="AA4347">
            <v>32939</v>
          </cell>
        </row>
        <row r="4348">
          <cell r="P4348">
            <v>0</v>
          </cell>
          <cell r="S4348" t="str">
            <v xml:space="preserve">32939 </v>
          </cell>
          <cell r="AA4348">
            <v>32939</v>
          </cell>
        </row>
        <row r="4349">
          <cell r="P4349">
            <v>0</v>
          </cell>
          <cell r="S4349" t="str">
            <v xml:space="preserve">32939 </v>
          </cell>
          <cell r="AA4349">
            <v>32939</v>
          </cell>
        </row>
        <row r="4350">
          <cell r="P4350">
            <v>0</v>
          </cell>
          <cell r="S4350" t="str">
            <v xml:space="preserve">32939 </v>
          </cell>
          <cell r="AA4350">
            <v>32939</v>
          </cell>
        </row>
        <row r="4351">
          <cell r="P4351">
            <v>0</v>
          </cell>
          <cell r="S4351" t="str">
            <v xml:space="preserve">32939 </v>
          </cell>
          <cell r="AA4351">
            <v>32939</v>
          </cell>
        </row>
        <row r="4352">
          <cell r="P4352">
            <v>0</v>
          </cell>
          <cell r="S4352" t="str">
            <v xml:space="preserve">32939 </v>
          </cell>
          <cell r="AA4352">
            <v>32939</v>
          </cell>
        </row>
        <row r="4353">
          <cell r="P4353">
            <v>0</v>
          </cell>
          <cell r="S4353" t="str">
            <v xml:space="preserve">32939 </v>
          </cell>
          <cell r="AA4353">
            <v>32939</v>
          </cell>
        </row>
        <row r="4354">
          <cell r="P4354">
            <v>0</v>
          </cell>
          <cell r="S4354" t="str">
            <v xml:space="preserve">32939 </v>
          </cell>
          <cell r="AA4354">
            <v>32939</v>
          </cell>
        </row>
        <row r="4355">
          <cell r="P4355">
            <v>0</v>
          </cell>
          <cell r="S4355" t="str">
            <v xml:space="preserve">32939 </v>
          </cell>
          <cell r="AA4355">
            <v>32939</v>
          </cell>
        </row>
        <row r="4356">
          <cell r="P4356">
            <v>0</v>
          </cell>
          <cell r="S4356" t="str">
            <v xml:space="preserve">32939 </v>
          </cell>
          <cell r="AA4356">
            <v>32939</v>
          </cell>
        </row>
        <row r="4357">
          <cell r="P4357">
            <v>0</v>
          </cell>
          <cell r="S4357" t="str">
            <v xml:space="preserve">32939 </v>
          </cell>
          <cell r="AA4357">
            <v>32939</v>
          </cell>
        </row>
        <row r="4358">
          <cell r="P4358">
            <v>0</v>
          </cell>
          <cell r="S4358" t="str">
            <v xml:space="preserve">32939 </v>
          </cell>
          <cell r="AA4358">
            <v>32939</v>
          </cell>
        </row>
        <row r="4359">
          <cell r="P4359">
            <v>0</v>
          </cell>
          <cell r="S4359" t="str">
            <v xml:space="preserve">32939 </v>
          </cell>
          <cell r="AA4359">
            <v>32939</v>
          </cell>
        </row>
        <row r="4360">
          <cell r="P4360">
            <v>0</v>
          </cell>
          <cell r="S4360" t="str">
            <v xml:space="preserve">32939 </v>
          </cell>
          <cell r="AA4360">
            <v>32939</v>
          </cell>
        </row>
        <row r="4361">
          <cell r="P4361">
            <v>0</v>
          </cell>
          <cell r="S4361" t="str">
            <v xml:space="preserve">32939 </v>
          </cell>
          <cell r="AA4361">
            <v>32939</v>
          </cell>
        </row>
        <row r="4362">
          <cell r="P4362">
            <v>0</v>
          </cell>
          <cell r="S4362" t="str">
            <v xml:space="preserve">32939 </v>
          </cell>
          <cell r="AA4362">
            <v>32939</v>
          </cell>
        </row>
        <row r="4363">
          <cell r="P4363">
            <v>0</v>
          </cell>
          <cell r="S4363" t="str">
            <v xml:space="preserve">32939 </v>
          </cell>
          <cell r="AA4363">
            <v>32939</v>
          </cell>
        </row>
        <row r="4364">
          <cell r="P4364">
            <v>0</v>
          </cell>
          <cell r="S4364" t="str">
            <v xml:space="preserve">32939 </v>
          </cell>
          <cell r="AA4364">
            <v>32939</v>
          </cell>
        </row>
        <row r="4365">
          <cell r="P4365">
            <v>0</v>
          </cell>
          <cell r="S4365" t="str">
            <v xml:space="preserve">32939 </v>
          </cell>
          <cell r="AA4365">
            <v>32939</v>
          </cell>
        </row>
        <row r="4366">
          <cell r="P4366">
            <v>0</v>
          </cell>
          <cell r="S4366" t="str">
            <v xml:space="preserve">32939 </v>
          </cell>
          <cell r="AA4366">
            <v>32939</v>
          </cell>
        </row>
        <row r="4367">
          <cell r="P4367">
            <v>0</v>
          </cell>
          <cell r="S4367" t="str">
            <v xml:space="preserve">32939 </v>
          </cell>
          <cell r="AA4367">
            <v>32939</v>
          </cell>
        </row>
        <row r="4368">
          <cell r="P4368">
            <v>0</v>
          </cell>
          <cell r="S4368" t="str">
            <v xml:space="preserve">32939 </v>
          </cell>
          <cell r="AA4368">
            <v>32939</v>
          </cell>
        </row>
        <row r="4369">
          <cell r="P4369">
            <v>0</v>
          </cell>
          <cell r="S4369" t="str">
            <v xml:space="preserve">32939 </v>
          </cell>
          <cell r="AA4369">
            <v>32939</v>
          </cell>
        </row>
        <row r="4370">
          <cell r="P4370">
            <v>0</v>
          </cell>
          <cell r="S4370" t="str">
            <v xml:space="preserve">32939 </v>
          </cell>
          <cell r="AA4370">
            <v>32939</v>
          </cell>
        </row>
        <row r="4371">
          <cell r="P4371">
            <v>0</v>
          </cell>
          <cell r="S4371" t="str">
            <v xml:space="preserve">32939 </v>
          </cell>
          <cell r="AA4371">
            <v>32939</v>
          </cell>
        </row>
        <row r="4372">
          <cell r="P4372">
            <v>0</v>
          </cell>
          <cell r="S4372" t="str">
            <v xml:space="preserve">32939 </v>
          </cell>
          <cell r="AA4372">
            <v>32939</v>
          </cell>
        </row>
        <row r="4373">
          <cell r="P4373">
            <v>0</v>
          </cell>
          <cell r="S4373" t="str">
            <v xml:space="preserve">32939 </v>
          </cell>
          <cell r="AA4373">
            <v>32939</v>
          </cell>
        </row>
        <row r="4374">
          <cell r="P4374">
            <v>0</v>
          </cell>
          <cell r="S4374" t="str">
            <v xml:space="preserve">32939 </v>
          </cell>
          <cell r="AA4374">
            <v>32939</v>
          </cell>
        </row>
        <row r="4375">
          <cell r="P4375">
            <v>0</v>
          </cell>
          <cell r="S4375" t="str">
            <v xml:space="preserve">32939 </v>
          </cell>
          <cell r="AA4375">
            <v>32939</v>
          </cell>
        </row>
        <row r="4376">
          <cell r="P4376">
            <v>0</v>
          </cell>
          <cell r="S4376" t="str">
            <v xml:space="preserve">32939 </v>
          </cell>
          <cell r="AA4376">
            <v>32939</v>
          </cell>
        </row>
        <row r="4377">
          <cell r="P4377">
            <v>0</v>
          </cell>
          <cell r="S4377" t="str">
            <v xml:space="preserve">32939 </v>
          </cell>
          <cell r="AA4377">
            <v>32939</v>
          </cell>
        </row>
        <row r="4378">
          <cell r="P4378">
            <v>0</v>
          </cell>
          <cell r="S4378" t="str">
            <v xml:space="preserve">32939 </v>
          </cell>
          <cell r="AA4378">
            <v>32939</v>
          </cell>
        </row>
        <row r="4379">
          <cell r="P4379">
            <v>0</v>
          </cell>
          <cell r="S4379" t="str">
            <v xml:space="preserve">32939 </v>
          </cell>
          <cell r="AA4379">
            <v>32939</v>
          </cell>
        </row>
        <row r="4380">
          <cell r="P4380">
            <v>0</v>
          </cell>
          <cell r="S4380" t="str">
            <v xml:space="preserve">32939 </v>
          </cell>
          <cell r="AA4380">
            <v>32939</v>
          </cell>
        </row>
        <row r="4381">
          <cell r="P4381">
            <v>0</v>
          </cell>
          <cell r="S4381" t="str">
            <v xml:space="preserve">32939 </v>
          </cell>
          <cell r="AA4381">
            <v>32939</v>
          </cell>
        </row>
        <row r="4382">
          <cell r="P4382">
            <v>0</v>
          </cell>
          <cell r="S4382" t="str">
            <v xml:space="preserve">32939 </v>
          </cell>
          <cell r="AA4382">
            <v>32939</v>
          </cell>
        </row>
        <row r="4383">
          <cell r="P4383">
            <v>0</v>
          </cell>
          <cell r="S4383" t="str">
            <v xml:space="preserve">32939 </v>
          </cell>
          <cell r="AA4383">
            <v>32939</v>
          </cell>
        </row>
        <row r="4384">
          <cell r="P4384">
            <v>0</v>
          </cell>
          <cell r="S4384" t="str">
            <v xml:space="preserve">32939 </v>
          </cell>
          <cell r="AA4384">
            <v>32939</v>
          </cell>
        </row>
        <row r="4385">
          <cell r="P4385">
            <v>0</v>
          </cell>
          <cell r="S4385" t="str">
            <v xml:space="preserve">32939 </v>
          </cell>
          <cell r="AA4385">
            <v>32939</v>
          </cell>
        </row>
        <row r="4386">
          <cell r="P4386">
            <v>0</v>
          </cell>
          <cell r="S4386" t="str">
            <v xml:space="preserve">32939 </v>
          </cell>
          <cell r="AA4386">
            <v>32939</v>
          </cell>
        </row>
        <row r="4387">
          <cell r="P4387">
            <v>0</v>
          </cell>
          <cell r="S4387" t="str">
            <v xml:space="preserve">32939 </v>
          </cell>
          <cell r="AA4387">
            <v>32939</v>
          </cell>
        </row>
        <row r="4388">
          <cell r="P4388">
            <v>0</v>
          </cell>
          <cell r="S4388" t="str">
            <v xml:space="preserve">32939 </v>
          </cell>
          <cell r="AA4388">
            <v>32939</v>
          </cell>
        </row>
        <row r="4389">
          <cell r="P4389">
            <v>0</v>
          </cell>
          <cell r="S4389" t="str">
            <v xml:space="preserve">32939 </v>
          </cell>
          <cell r="AA4389">
            <v>32939</v>
          </cell>
        </row>
        <row r="4390">
          <cell r="P4390">
            <v>0</v>
          </cell>
          <cell r="S4390" t="str">
            <v xml:space="preserve">32939 </v>
          </cell>
          <cell r="AA4390">
            <v>32939</v>
          </cell>
        </row>
        <row r="4391">
          <cell r="P4391">
            <v>0</v>
          </cell>
          <cell r="S4391" t="str">
            <v xml:space="preserve">32939 </v>
          </cell>
          <cell r="AA4391">
            <v>32939</v>
          </cell>
        </row>
        <row r="4392">
          <cell r="P4392">
            <v>0</v>
          </cell>
          <cell r="S4392" t="str">
            <v xml:space="preserve">32939 </v>
          </cell>
          <cell r="AA4392">
            <v>32939</v>
          </cell>
        </row>
        <row r="4393">
          <cell r="P4393">
            <v>0</v>
          </cell>
          <cell r="S4393" t="str">
            <v xml:space="preserve">32939 </v>
          </cell>
          <cell r="AA4393">
            <v>32939</v>
          </cell>
        </row>
        <row r="4394">
          <cell r="P4394">
            <v>0</v>
          </cell>
          <cell r="S4394" t="str">
            <v xml:space="preserve">32939 </v>
          </cell>
          <cell r="AA4394">
            <v>32939</v>
          </cell>
        </row>
        <row r="4395">
          <cell r="P4395">
            <v>0</v>
          </cell>
          <cell r="S4395" t="str">
            <v xml:space="preserve">32939 </v>
          </cell>
          <cell r="AA4395">
            <v>32939</v>
          </cell>
        </row>
        <row r="4396">
          <cell r="P4396">
            <v>0</v>
          </cell>
          <cell r="S4396" t="str">
            <v xml:space="preserve">32939 </v>
          </cell>
          <cell r="AA4396">
            <v>32939</v>
          </cell>
        </row>
        <row r="4397">
          <cell r="P4397">
            <v>0</v>
          </cell>
          <cell r="S4397" t="str">
            <v xml:space="preserve">32939 </v>
          </cell>
          <cell r="AA4397">
            <v>32939</v>
          </cell>
        </row>
        <row r="4398">
          <cell r="P4398">
            <v>0</v>
          </cell>
          <cell r="S4398" t="str">
            <v xml:space="preserve">32939 </v>
          </cell>
          <cell r="AA4398">
            <v>32939</v>
          </cell>
        </row>
        <row r="4399">
          <cell r="P4399">
            <v>0</v>
          </cell>
          <cell r="S4399" t="str">
            <v xml:space="preserve">32939 </v>
          </cell>
          <cell r="AA4399">
            <v>32939</v>
          </cell>
        </row>
        <row r="4400">
          <cell r="P4400">
            <v>0</v>
          </cell>
          <cell r="S4400" t="str">
            <v xml:space="preserve">32939 </v>
          </cell>
          <cell r="AA4400">
            <v>32939</v>
          </cell>
        </row>
        <row r="4401">
          <cell r="P4401">
            <v>0</v>
          </cell>
          <cell r="S4401" t="str">
            <v xml:space="preserve">32939 </v>
          </cell>
          <cell r="AA4401">
            <v>32939</v>
          </cell>
        </row>
        <row r="4402">
          <cell r="P4402">
            <v>0</v>
          </cell>
          <cell r="S4402" t="str">
            <v xml:space="preserve">32939 </v>
          </cell>
          <cell r="AA4402">
            <v>32939</v>
          </cell>
        </row>
        <row r="4403">
          <cell r="P4403">
            <v>0</v>
          </cell>
          <cell r="S4403" t="str">
            <v xml:space="preserve">32939 </v>
          </cell>
          <cell r="AA4403">
            <v>32939</v>
          </cell>
        </row>
        <row r="4404">
          <cell r="P4404">
            <v>0</v>
          </cell>
          <cell r="S4404" t="str">
            <v xml:space="preserve">32939 </v>
          </cell>
          <cell r="AA4404">
            <v>32939</v>
          </cell>
        </row>
        <row r="4405">
          <cell r="P4405">
            <v>0</v>
          </cell>
          <cell r="S4405" t="str">
            <v xml:space="preserve">32939 </v>
          </cell>
          <cell r="AA4405">
            <v>32939</v>
          </cell>
        </row>
        <row r="4406">
          <cell r="P4406">
            <v>0</v>
          </cell>
          <cell r="S4406" t="str">
            <v xml:space="preserve">32939 </v>
          </cell>
          <cell r="AA4406">
            <v>32939</v>
          </cell>
        </row>
        <row r="4407">
          <cell r="P4407">
            <v>0</v>
          </cell>
          <cell r="S4407" t="str">
            <v xml:space="preserve">32939 </v>
          </cell>
          <cell r="AA4407">
            <v>32939</v>
          </cell>
        </row>
        <row r="4408">
          <cell r="P4408">
            <v>0</v>
          </cell>
          <cell r="S4408" t="str">
            <v xml:space="preserve">32939 </v>
          </cell>
          <cell r="AA4408">
            <v>32939</v>
          </cell>
        </row>
        <row r="4409">
          <cell r="P4409">
            <v>0</v>
          </cell>
          <cell r="S4409" t="str">
            <v xml:space="preserve">32939 </v>
          </cell>
          <cell r="AA4409">
            <v>32939</v>
          </cell>
        </row>
        <row r="4410">
          <cell r="P4410">
            <v>0</v>
          </cell>
          <cell r="S4410" t="str">
            <v xml:space="preserve">32939 </v>
          </cell>
          <cell r="AA4410">
            <v>32939</v>
          </cell>
        </row>
        <row r="4411">
          <cell r="P4411">
            <v>0</v>
          </cell>
          <cell r="S4411" t="str">
            <v xml:space="preserve">32939 </v>
          </cell>
          <cell r="AA4411">
            <v>32939</v>
          </cell>
        </row>
        <row r="4412">
          <cell r="P4412">
            <v>0</v>
          </cell>
          <cell r="S4412" t="str">
            <v xml:space="preserve">32939 </v>
          </cell>
          <cell r="AA4412">
            <v>32939</v>
          </cell>
        </row>
        <row r="4413">
          <cell r="P4413">
            <v>0</v>
          </cell>
          <cell r="S4413" t="str">
            <v xml:space="preserve">32939 </v>
          </cell>
          <cell r="AA4413">
            <v>32939</v>
          </cell>
        </row>
        <row r="4414">
          <cell r="P4414">
            <v>0</v>
          </cell>
          <cell r="S4414" t="str">
            <v xml:space="preserve">32939 </v>
          </cell>
          <cell r="AA4414">
            <v>32939</v>
          </cell>
        </row>
        <row r="4415">
          <cell r="P4415">
            <v>0</v>
          </cell>
          <cell r="S4415" t="str">
            <v xml:space="preserve">32939 </v>
          </cell>
          <cell r="AA4415">
            <v>32939</v>
          </cell>
        </row>
        <row r="4416">
          <cell r="P4416">
            <v>0</v>
          </cell>
          <cell r="S4416" t="str">
            <v xml:space="preserve">32939 </v>
          </cell>
          <cell r="AA4416">
            <v>32939</v>
          </cell>
        </row>
        <row r="4417">
          <cell r="P4417">
            <v>0</v>
          </cell>
          <cell r="S4417" t="str">
            <v xml:space="preserve">32939 </v>
          </cell>
          <cell r="AA4417">
            <v>32939</v>
          </cell>
        </row>
        <row r="4418">
          <cell r="P4418">
            <v>0</v>
          </cell>
          <cell r="S4418" t="str">
            <v xml:space="preserve">32939 </v>
          </cell>
          <cell r="AA4418">
            <v>32939</v>
          </cell>
        </row>
        <row r="4419">
          <cell r="P4419">
            <v>0</v>
          </cell>
          <cell r="S4419" t="str">
            <v xml:space="preserve">32939 </v>
          </cell>
          <cell r="AA4419">
            <v>32939</v>
          </cell>
        </row>
        <row r="4420">
          <cell r="P4420">
            <v>0</v>
          </cell>
          <cell r="S4420" t="str">
            <v xml:space="preserve">32939 </v>
          </cell>
          <cell r="AA4420">
            <v>32939</v>
          </cell>
        </row>
        <row r="4421">
          <cell r="P4421">
            <v>0</v>
          </cell>
          <cell r="S4421" t="str">
            <v xml:space="preserve">32939 </v>
          </cell>
          <cell r="AA4421">
            <v>32939</v>
          </cell>
        </row>
        <row r="4422">
          <cell r="P4422">
            <v>0</v>
          </cell>
          <cell r="S4422" t="str">
            <v xml:space="preserve">32939 </v>
          </cell>
          <cell r="AA4422">
            <v>32939</v>
          </cell>
        </row>
        <row r="4423">
          <cell r="P4423">
            <v>0</v>
          </cell>
          <cell r="S4423" t="str">
            <v xml:space="preserve">32939 </v>
          </cell>
          <cell r="AA4423">
            <v>32939</v>
          </cell>
        </row>
        <row r="4424">
          <cell r="P4424">
            <v>0</v>
          </cell>
          <cell r="S4424" t="str">
            <v xml:space="preserve">32939 </v>
          </cell>
          <cell r="AA4424">
            <v>32939</v>
          </cell>
        </row>
        <row r="4425">
          <cell r="P4425">
            <v>0</v>
          </cell>
          <cell r="S4425" t="str">
            <v xml:space="preserve">32939 </v>
          </cell>
          <cell r="AA4425">
            <v>32939</v>
          </cell>
        </row>
        <row r="4426">
          <cell r="P4426">
            <v>0</v>
          </cell>
          <cell r="S4426" t="str">
            <v xml:space="preserve">32939 </v>
          </cell>
          <cell r="AA4426">
            <v>32939</v>
          </cell>
        </row>
        <row r="4427">
          <cell r="P4427">
            <v>0</v>
          </cell>
          <cell r="S4427" t="str">
            <v xml:space="preserve">32939 </v>
          </cell>
          <cell r="AA4427">
            <v>32939</v>
          </cell>
        </row>
        <row r="4428">
          <cell r="P4428">
            <v>0</v>
          </cell>
          <cell r="S4428" t="str">
            <v xml:space="preserve">32939 </v>
          </cell>
          <cell r="AA4428">
            <v>32939</v>
          </cell>
        </row>
        <row r="4429">
          <cell r="P4429">
            <v>0</v>
          </cell>
          <cell r="S4429" t="str">
            <v xml:space="preserve">32939 </v>
          </cell>
          <cell r="AA4429">
            <v>32939</v>
          </cell>
        </row>
        <row r="4430">
          <cell r="P4430">
            <v>0</v>
          </cell>
          <cell r="S4430" t="str">
            <v xml:space="preserve">32939 </v>
          </cell>
          <cell r="AA4430">
            <v>32939</v>
          </cell>
        </row>
        <row r="4431">
          <cell r="P4431">
            <v>0</v>
          </cell>
          <cell r="S4431" t="str">
            <v xml:space="preserve">32939 </v>
          </cell>
          <cell r="AA4431">
            <v>32939</v>
          </cell>
        </row>
        <row r="4432">
          <cell r="P4432">
            <v>0</v>
          </cell>
          <cell r="S4432" t="str">
            <v xml:space="preserve">32939 </v>
          </cell>
          <cell r="AA4432">
            <v>32939</v>
          </cell>
        </row>
        <row r="4433">
          <cell r="P4433">
            <v>0</v>
          </cell>
          <cell r="S4433" t="str">
            <v xml:space="preserve">32939 </v>
          </cell>
          <cell r="AA4433">
            <v>32939</v>
          </cell>
        </row>
        <row r="4434">
          <cell r="P4434">
            <v>0</v>
          </cell>
          <cell r="S4434" t="str">
            <v xml:space="preserve">32939 </v>
          </cell>
          <cell r="AA4434">
            <v>32939</v>
          </cell>
        </row>
        <row r="4435">
          <cell r="P4435">
            <v>0</v>
          </cell>
          <cell r="S4435" t="str">
            <v xml:space="preserve">32939 </v>
          </cell>
          <cell r="AA4435">
            <v>32939</v>
          </cell>
        </row>
        <row r="4436">
          <cell r="P4436">
            <v>0</v>
          </cell>
          <cell r="S4436" t="str">
            <v xml:space="preserve">32939 </v>
          </cell>
          <cell r="AA4436">
            <v>32939</v>
          </cell>
        </row>
        <row r="4437">
          <cell r="P4437">
            <v>0</v>
          </cell>
          <cell r="S4437" t="str">
            <v xml:space="preserve">32939 </v>
          </cell>
          <cell r="AA4437">
            <v>32939</v>
          </cell>
        </row>
        <row r="4438">
          <cell r="P4438">
            <v>0</v>
          </cell>
          <cell r="S4438" t="str">
            <v xml:space="preserve">32939 </v>
          </cell>
          <cell r="AA4438">
            <v>32939</v>
          </cell>
        </row>
        <row r="4439">
          <cell r="P4439">
            <v>0</v>
          </cell>
          <cell r="S4439" t="str">
            <v xml:space="preserve">32939 </v>
          </cell>
          <cell r="AA4439">
            <v>32939</v>
          </cell>
        </row>
        <row r="4440">
          <cell r="P4440">
            <v>0</v>
          </cell>
          <cell r="S4440" t="str">
            <v xml:space="preserve">32939 </v>
          </cell>
          <cell r="AA4440">
            <v>32939</v>
          </cell>
        </row>
        <row r="4441">
          <cell r="P4441">
            <v>0</v>
          </cell>
          <cell r="S4441" t="str">
            <v xml:space="preserve">32939 </v>
          </cell>
          <cell r="AA4441">
            <v>32939</v>
          </cell>
        </row>
        <row r="4442">
          <cell r="P4442">
            <v>0</v>
          </cell>
          <cell r="S4442" t="str">
            <v xml:space="preserve">32939 </v>
          </cell>
          <cell r="AA4442">
            <v>32939</v>
          </cell>
        </row>
        <row r="4443">
          <cell r="P4443">
            <v>0</v>
          </cell>
          <cell r="S4443" t="str">
            <v xml:space="preserve">32939 </v>
          </cell>
          <cell r="AA4443">
            <v>32939</v>
          </cell>
        </row>
        <row r="4444">
          <cell r="P4444">
            <v>0</v>
          </cell>
          <cell r="S4444" t="str">
            <v xml:space="preserve">32939 </v>
          </cell>
          <cell r="AA4444">
            <v>32939</v>
          </cell>
        </row>
        <row r="4445">
          <cell r="P4445">
            <v>0</v>
          </cell>
          <cell r="S4445" t="str">
            <v xml:space="preserve">32939 </v>
          </cell>
          <cell r="AA4445">
            <v>32939</v>
          </cell>
        </row>
        <row r="4446">
          <cell r="P4446">
            <v>0</v>
          </cell>
          <cell r="S4446" t="str">
            <v xml:space="preserve">32939 </v>
          </cell>
          <cell r="AA4446">
            <v>32939</v>
          </cell>
        </row>
        <row r="4447">
          <cell r="P4447">
            <v>0</v>
          </cell>
          <cell r="S4447" t="str">
            <v xml:space="preserve">32939 </v>
          </cell>
          <cell r="AA4447">
            <v>32939</v>
          </cell>
        </row>
        <row r="4448">
          <cell r="P4448">
            <v>0</v>
          </cell>
          <cell r="S4448" t="str">
            <v xml:space="preserve">32939 </v>
          </cell>
          <cell r="AA4448">
            <v>32939</v>
          </cell>
        </row>
        <row r="4449">
          <cell r="P4449">
            <v>0</v>
          </cell>
          <cell r="S4449" t="str">
            <v xml:space="preserve">32939 </v>
          </cell>
          <cell r="AA4449">
            <v>32939</v>
          </cell>
        </row>
        <row r="4450">
          <cell r="P4450">
            <v>0</v>
          </cell>
          <cell r="S4450" t="str">
            <v xml:space="preserve">32939 </v>
          </cell>
          <cell r="AA4450">
            <v>32939</v>
          </cell>
        </row>
        <row r="4451">
          <cell r="P4451">
            <v>0</v>
          </cell>
          <cell r="S4451" t="str">
            <v xml:space="preserve">32939 </v>
          </cell>
          <cell r="AA4451">
            <v>32939</v>
          </cell>
        </row>
        <row r="4452">
          <cell r="P4452">
            <v>0</v>
          </cell>
          <cell r="S4452" t="str">
            <v xml:space="preserve">32939 </v>
          </cell>
          <cell r="AA4452">
            <v>32939</v>
          </cell>
        </row>
        <row r="4453">
          <cell r="P4453">
            <v>0</v>
          </cell>
          <cell r="S4453" t="str">
            <v xml:space="preserve">32939 </v>
          </cell>
          <cell r="AA4453">
            <v>32939</v>
          </cell>
        </row>
        <row r="4454">
          <cell r="P4454">
            <v>0</v>
          </cell>
          <cell r="S4454" t="str">
            <v xml:space="preserve">32939 </v>
          </cell>
          <cell r="AA4454">
            <v>32939</v>
          </cell>
        </row>
        <row r="4455">
          <cell r="P4455">
            <v>0</v>
          </cell>
          <cell r="S4455" t="str">
            <v xml:space="preserve">32939 </v>
          </cell>
          <cell r="AA4455">
            <v>32939</v>
          </cell>
        </row>
        <row r="4456">
          <cell r="P4456">
            <v>0</v>
          </cell>
          <cell r="S4456" t="str">
            <v xml:space="preserve">32939 </v>
          </cell>
          <cell r="AA4456">
            <v>32939</v>
          </cell>
        </row>
        <row r="4457">
          <cell r="P4457">
            <v>0</v>
          </cell>
          <cell r="S4457" t="str">
            <v xml:space="preserve">32939 </v>
          </cell>
          <cell r="AA4457">
            <v>32939</v>
          </cell>
        </row>
        <row r="4458">
          <cell r="P4458">
            <v>0</v>
          </cell>
          <cell r="S4458" t="str">
            <v xml:space="preserve">32939 </v>
          </cell>
          <cell r="AA4458">
            <v>32939</v>
          </cell>
        </row>
        <row r="4459">
          <cell r="P4459">
            <v>0</v>
          </cell>
          <cell r="S4459" t="str">
            <v xml:space="preserve">32939 </v>
          </cell>
          <cell r="AA4459">
            <v>32939</v>
          </cell>
        </row>
        <row r="4460">
          <cell r="P4460">
            <v>0</v>
          </cell>
          <cell r="S4460" t="str">
            <v xml:space="preserve">32939 </v>
          </cell>
          <cell r="AA4460">
            <v>32939</v>
          </cell>
        </row>
        <row r="4461">
          <cell r="P4461">
            <v>0</v>
          </cell>
          <cell r="S4461" t="str">
            <v xml:space="preserve">32939 </v>
          </cell>
          <cell r="AA4461">
            <v>32939</v>
          </cell>
        </row>
        <row r="4462">
          <cell r="P4462">
            <v>0</v>
          </cell>
          <cell r="S4462" t="str">
            <v xml:space="preserve">32939 </v>
          </cell>
          <cell r="AA4462">
            <v>32939</v>
          </cell>
        </row>
        <row r="4463">
          <cell r="P4463">
            <v>0</v>
          </cell>
          <cell r="S4463" t="str">
            <v xml:space="preserve">32939 </v>
          </cell>
          <cell r="AA4463">
            <v>32939</v>
          </cell>
        </row>
        <row r="4464">
          <cell r="P4464">
            <v>0</v>
          </cell>
          <cell r="S4464" t="str">
            <v xml:space="preserve">32939 </v>
          </cell>
          <cell r="AA4464">
            <v>32939</v>
          </cell>
        </row>
        <row r="4465">
          <cell r="P4465">
            <v>0</v>
          </cell>
          <cell r="S4465" t="str">
            <v xml:space="preserve">32939 </v>
          </cell>
          <cell r="AA4465">
            <v>32939</v>
          </cell>
        </row>
        <row r="4466">
          <cell r="P4466">
            <v>0</v>
          </cell>
          <cell r="S4466" t="str">
            <v xml:space="preserve">32939 </v>
          </cell>
          <cell r="AA4466">
            <v>32939</v>
          </cell>
        </row>
        <row r="4467">
          <cell r="P4467">
            <v>0</v>
          </cell>
          <cell r="S4467" t="str">
            <v xml:space="preserve">32939 </v>
          </cell>
          <cell r="AA4467">
            <v>32939</v>
          </cell>
        </row>
        <row r="4468">
          <cell r="P4468">
            <v>0</v>
          </cell>
          <cell r="S4468" t="str">
            <v xml:space="preserve">32939 </v>
          </cell>
          <cell r="AA4468">
            <v>32939</v>
          </cell>
        </row>
        <row r="4469">
          <cell r="P4469">
            <v>0</v>
          </cell>
          <cell r="S4469" t="str">
            <v xml:space="preserve">32939 </v>
          </cell>
          <cell r="AA4469">
            <v>32939</v>
          </cell>
        </row>
        <row r="4470">
          <cell r="P4470">
            <v>0</v>
          </cell>
          <cell r="S4470" t="str">
            <v xml:space="preserve">32939 </v>
          </cell>
          <cell r="AA4470">
            <v>32939</v>
          </cell>
        </row>
        <row r="4471">
          <cell r="P4471">
            <v>0</v>
          </cell>
          <cell r="S4471" t="str">
            <v xml:space="preserve">32939 </v>
          </cell>
          <cell r="AA4471">
            <v>32939</v>
          </cell>
        </row>
        <row r="4472">
          <cell r="P4472">
            <v>0</v>
          </cell>
          <cell r="S4472" t="str">
            <v xml:space="preserve">32939 </v>
          </cell>
          <cell r="AA4472">
            <v>32939</v>
          </cell>
        </row>
        <row r="4473">
          <cell r="P4473">
            <v>0</v>
          </cell>
          <cell r="S4473" t="str">
            <v xml:space="preserve">32939 </v>
          </cell>
          <cell r="AA4473">
            <v>32939</v>
          </cell>
        </row>
        <row r="4474">
          <cell r="P4474">
            <v>0</v>
          </cell>
          <cell r="S4474" t="str">
            <v xml:space="preserve">32939 </v>
          </cell>
          <cell r="AA4474">
            <v>32939</v>
          </cell>
        </row>
        <row r="4475">
          <cell r="P4475">
            <v>0</v>
          </cell>
          <cell r="S4475" t="str">
            <v xml:space="preserve">32939 </v>
          </cell>
          <cell r="AA4475">
            <v>32939</v>
          </cell>
        </row>
        <row r="4476">
          <cell r="P4476">
            <v>0</v>
          </cell>
          <cell r="S4476" t="str">
            <v xml:space="preserve">32939 </v>
          </cell>
          <cell r="AA4476">
            <v>32939</v>
          </cell>
        </row>
        <row r="4477">
          <cell r="P4477">
            <v>0</v>
          </cell>
          <cell r="S4477" t="str">
            <v xml:space="preserve">32939 </v>
          </cell>
          <cell r="AA4477">
            <v>32939</v>
          </cell>
        </row>
        <row r="4478">
          <cell r="P4478">
            <v>0</v>
          </cell>
          <cell r="S4478" t="str">
            <v xml:space="preserve">32939 </v>
          </cell>
          <cell r="AA4478">
            <v>32939</v>
          </cell>
        </row>
        <row r="4479">
          <cell r="P4479">
            <v>0</v>
          </cell>
          <cell r="S4479" t="str">
            <v xml:space="preserve">32939 </v>
          </cell>
          <cell r="AA4479">
            <v>32939</v>
          </cell>
        </row>
        <row r="4480">
          <cell r="P4480">
            <v>0</v>
          </cell>
          <cell r="S4480" t="str">
            <v xml:space="preserve">32939 </v>
          </cell>
          <cell r="AA4480">
            <v>32939</v>
          </cell>
        </row>
        <row r="4481">
          <cell r="P4481">
            <v>0</v>
          </cell>
          <cell r="S4481" t="str">
            <v xml:space="preserve">32939 </v>
          </cell>
          <cell r="AA4481">
            <v>32939</v>
          </cell>
        </row>
        <row r="4482">
          <cell r="P4482">
            <v>0</v>
          </cell>
          <cell r="S4482" t="str">
            <v xml:space="preserve">32939 </v>
          </cell>
          <cell r="AA4482">
            <v>32939</v>
          </cell>
        </row>
        <row r="4483">
          <cell r="P4483">
            <v>0</v>
          </cell>
          <cell r="S4483" t="str">
            <v xml:space="preserve">32939 </v>
          </cell>
          <cell r="AA4483">
            <v>32939</v>
          </cell>
        </row>
        <row r="4484">
          <cell r="P4484">
            <v>0</v>
          </cell>
          <cell r="S4484" t="str">
            <v xml:space="preserve">32939 </v>
          </cell>
          <cell r="AA4484">
            <v>32939</v>
          </cell>
        </row>
        <row r="4485">
          <cell r="P4485">
            <v>0</v>
          </cell>
          <cell r="S4485" t="str">
            <v xml:space="preserve">32939 </v>
          </cell>
          <cell r="AA4485">
            <v>32939</v>
          </cell>
        </row>
        <row r="4486">
          <cell r="P4486">
            <v>0</v>
          </cell>
          <cell r="S4486" t="str">
            <v xml:space="preserve">32939 </v>
          </cell>
          <cell r="AA4486">
            <v>32939</v>
          </cell>
        </row>
        <row r="4487">
          <cell r="P4487">
            <v>0</v>
          </cell>
          <cell r="S4487" t="str">
            <v xml:space="preserve">32939 </v>
          </cell>
          <cell r="AA4487">
            <v>32939</v>
          </cell>
        </row>
        <row r="4488">
          <cell r="P4488">
            <v>0</v>
          </cell>
          <cell r="S4488" t="str">
            <v xml:space="preserve">32939 </v>
          </cell>
          <cell r="AA4488">
            <v>32939</v>
          </cell>
        </row>
        <row r="4489">
          <cell r="P4489">
            <v>0</v>
          </cell>
          <cell r="S4489" t="str">
            <v xml:space="preserve">32939 </v>
          </cell>
          <cell r="AA4489">
            <v>32939</v>
          </cell>
        </row>
        <row r="4490">
          <cell r="P4490">
            <v>0</v>
          </cell>
          <cell r="S4490" t="str">
            <v xml:space="preserve">32939 </v>
          </cell>
          <cell r="AA4490">
            <v>32939</v>
          </cell>
        </row>
        <row r="4491">
          <cell r="P4491">
            <v>0</v>
          </cell>
          <cell r="S4491" t="str">
            <v xml:space="preserve">32939 </v>
          </cell>
          <cell r="AA4491">
            <v>32939</v>
          </cell>
        </row>
        <row r="4492">
          <cell r="P4492">
            <v>0</v>
          </cell>
          <cell r="S4492" t="str">
            <v xml:space="preserve">32939 </v>
          </cell>
          <cell r="AA4492">
            <v>32939</v>
          </cell>
        </row>
        <row r="4493">
          <cell r="P4493">
            <v>0</v>
          </cell>
          <cell r="S4493" t="str">
            <v xml:space="preserve">32939 </v>
          </cell>
          <cell r="AA4493">
            <v>32939</v>
          </cell>
        </row>
        <row r="4494">
          <cell r="P4494">
            <v>0</v>
          </cell>
          <cell r="S4494" t="str">
            <v xml:space="preserve">32939 </v>
          </cell>
          <cell r="AA4494">
            <v>32939</v>
          </cell>
        </row>
        <row r="4495">
          <cell r="P4495">
            <v>0</v>
          </cell>
          <cell r="S4495" t="str">
            <v xml:space="preserve">32939 </v>
          </cell>
          <cell r="AA4495">
            <v>32939</v>
          </cell>
        </row>
        <row r="4496">
          <cell r="P4496">
            <v>0</v>
          </cell>
          <cell r="S4496" t="str">
            <v xml:space="preserve">32939 </v>
          </cell>
          <cell r="AA4496">
            <v>32939</v>
          </cell>
        </row>
        <row r="4497">
          <cell r="P4497">
            <v>0</v>
          </cell>
          <cell r="S4497" t="str">
            <v xml:space="preserve">32939 </v>
          </cell>
          <cell r="AA4497">
            <v>32939</v>
          </cell>
        </row>
        <row r="4498">
          <cell r="P4498">
            <v>0</v>
          </cell>
          <cell r="S4498" t="str">
            <v xml:space="preserve">32939 </v>
          </cell>
          <cell r="AA4498">
            <v>32939</v>
          </cell>
        </row>
        <row r="4499">
          <cell r="P4499">
            <v>0</v>
          </cell>
          <cell r="S4499" t="str">
            <v xml:space="preserve">32939 </v>
          </cell>
          <cell r="AA4499">
            <v>32939</v>
          </cell>
        </row>
        <row r="4500">
          <cell r="P4500">
            <v>0</v>
          </cell>
          <cell r="S4500" t="str">
            <v xml:space="preserve">32939 </v>
          </cell>
          <cell r="AA4500">
            <v>32939</v>
          </cell>
        </row>
        <row r="4501">
          <cell r="P4501">
            <v>0</v>
          </cell>
          <cell r="S4501" t="str">
            <v xml:space="preserve">32939 </v>
          </cell>
          <cell r="AA4501">
            <v>32939</v>
          </cell>
        </row>
        <row r="4502">
          <cell r="P4502">
            <v>0</v>
          </cell>
          <cell r="S4502" t="str">
            <v xml:space="preserve">32939 </v>
          </cell>
          <cell r="AA4502">
            <v>32939</v>
          </cell>
        </row>
        <row r="4503">
          <cell r="P4503">
            <v>0</v>
          </cell>
          <cell r="S4503" t="str">
            <v xml:space="preserve">32939 </v>
          </cell>
          <cell r="AA4503">
            <v>32939</v>
          </cell>
        </row>
        <row r="4504">
          <cell r="P4504">
            <v>0</v>
          </cell>
          <cell r="S4504" t="str">
            <v xml:space="preserve">32939 </v>
          </cell>
          <cell r="AA4504">
            <v>32939</v>
          </cell>
        </row>
        <row r="4505">
          <cell r="P4505">
            <v>0</v>
          </cell>
          <cell r="S4505" t="str">
            <v xml:space="preserve">32939 </v>
          </cell>
          <cell r="AA4505">
            <v>32939</v>
          </cell>
        </row>
        <row r="4506">
          <cell r="P4506">
            <v>0</v>
          </cell>
          <cell r="S4506" t="str">
            <v xml:space="preserve">32939 </v>
          </cell>
          <cell r="AA4506">
            <v>32939</v>
          </cell>
        </row>
        <row r="4507">
          <cell r="P4507">
            <v>0</v>
          </cell>
          <cell r="S4507" t="str">
            <v xml:space="preserve">32939 </v>
          </cell>
          <cell r="AA4507">
            <v>32939</v>
          </cell>
        </row>
        <row r="4508">
          <cell r="P4508">
            <v>0</v>
          </cell>
          <cell r="S4508" t="str">
            <v xml:space="preserve">32939 </v>
          </cell>
          <cell r="AA4508">
            <v>32939</v>
          </cell>
        </row>
        <row r="4509">
          <cell r="P4509">
            <v>0</v>
          </cell>
          <cell r="S4509" t="str">
            <v xml:space="preserve">32939 </v>
          </cell>
          <cell r="AA4509">
            <v>32939</v>
          </cell>
        </row>
        <row r="4510">
          <cell r="P4510">
            <v>0</v>
          </cell>
          <cell r="S4510" t="str">
            <v xml:space="preserve">32939 </v>
          </cell>
          <cell r="AA4510">
            <v>32939</v>
          </cell>
        </row>
        <row r="4511">
          <cell r="P4511">
            <v>0</v>
          </cell>
          <cell r="S4511" t="str">
            <v xml:space="preserve">32939 </v>
          </cell>
          <cell r="AA4511">
            <v>32939</v>
          </cell>
        </row>
        <row r="4512">
          <cell r="P4512">
            <v>0</v>
          </cell>
          <cell r="S4512" t="str">
            <v xml:space="preserve">32939 </v>
          </cell>
          <cell r="AA4512">
            <v>32939</v>
          </cell>
        </row>
        <row r="4513">
          <cell r="P4513">
            <v>0</v>
          </cell>
          <cell r="S4513" t="str">
            <v xml:space="preserve">32939 </v>
          </cell>
          <cell r="AA4513">
            <v>32939</v>
          </cell>
        </row>
        <row r="4514">
          <cell r="P4514">
            <v>0</v>
          </cell>
          <cell r="S4514" t="str">
            <v xml:space="preserve">32939 </v>
          </cell>
          <cell r="AA4514">
            <v>32939</v>
          </cell>
        </row>
        <row r="4515">
          <cell r="P4515">
            <v>0</v>
          </cell>
          <cell r="S4515" t="str">
            <v xml:space="preserve">32939 </v>
          </cell>
          <cell r="AA4515">
            <v>32939</v>
          </cell>
        </row>
        <row r="4516">
          <cell r="P4516">
            <v>0</v>
          </cell>
          <cell r="S4516" t="str">
            <v xml:space="preserve">32939 </v>
          </cell>
          <cell r="AA4516">
            <v>32939</v>
          </cell>
        </row>
        <row r="4517">
          <cell r="P4517">
            <v>0</v>
          </cell>
          <cell r="S4517" t="str">
            <v xml:space="preserve">32939 </v>
          </cell>
          <cell r="AA4517">
            <v>32939</v>
          </cell>
        </row>
        <row r="4518">
          <cell r="P4518">
            <v>0</v>
          </cell>
          <cell r="S4518" t="str">
            <v xml:space="preserve">32939 </v>
          </cell>
          <cell r="AA4518">
            <v>32939</v>
          </cell>
        </row>
        <row r="4519">
          <cell r="P4519">
            <v>0</v>
          </cell>
          <cell r="S4519" t="str">
            <v xml:space="preserve">32939 </v>
          </cell>
          <cell r="AA4519">
            <v>32939</v>
          </cell>
        </row>
        <row r="4520">
          <cell r="P4520">
            <v>0</v>
          </cell>
          <cell r="S4520" t="str">
            <v xml:space="preserve">32939 </v>
          </cell>
          <cell r="AA4520">
            <v>32939</v>
          </cell>
        </row>
        <row r="4521">
          <cell r="P4521">
            <v>0</v>
          </cell>
          <cell r="S4521" t="str">
            <v xml:space="preserve">32939 </v>
          </cell>
          <cell r="AA4521">
            <v>32939</v>
          </cell>
        </row>
        <row r="4522">
          <cell r="P4522">
            <v>0</v>
          </cell>
          <cell r="S4522" t="str">
            <v xml:space="preserve">32939 </v>
          </cell>
          <cell r="AA4522">
            <v>32939</v>
          </cell>
        </row>
        <row r="4523">
          <cell r="P4523">
            <v>0</v>
          </cell>
          <cell r="S4523" t="str">
            <v xml:space="preserve">32939 </v>
          </cell>
          <cell r="AA4523">
            <v>32939</v>
          </cell>
        </row>
        <row r="4524">
          <cell r="P4524">
            <v>0</v>
          </cell>
          <cell r="S4524" t="str">
            <v xml:space="preserve">32939 </v>
          </cell>
          <cell r="AA4524">
            <v>32939</v>
          </cell>
        </row>
        <row r="4525">
          <cell r="P4525">
            <v>0</v>
          </cell>
          <cell r="S4525" t="str">
            <v xml:space="preserve">32939 </v>
          </cell>
          <cell r="AA4525">
            <v>32939</v>
          </cell>
        </row>
        <row r="4526">
          <cell r="P4526">
            <v>0</v>
          </cell>
          <cell r="S4526" t="str">
            <v xml:space="preserve">32939 </v>
          </cell>
          <cell r="AA4526">
            <v>32939</v>
          </cell>
        </row>
        <row r="4527">
          <cell r="P4527">
            <v>0</v>
          </cell>
          <cell r="S4527" t="str">
            <v xml:space="preserve">32939 </v>
          </cell>
          <cell r="AA4527">
            <v>32939</v>
          </cell>
        </row>
        <row r="4528">
          <cell r="P4528">
            <v>0</v>
          </cell>
          <cell r="S4528" t="str">
            <v xml:space="preserve">32939 </v>
          </cell>
          <cell r="AA4528">
            <v>32939</v>
          </cell>
        </row>
        <row r="4529">
          <cell r="P4529">
            <v>0</v>
          </cell>
          <cell r="S4529" t="str">
            <v xml:space="preserve">32939 </v>
          </cell>
          <cell r="AA4529">
            <v>32939</v>
          </cell>
        </row>
        <row r="4530">
          <cell r="P4530">
            <v>0</v>
          </cell>
          <cell r="S4530" t="str">
            <v xml:space="preserve">32939 </v>
          </cell>
          <cell r="AA4530">
            <v>32939</v>
          </cell>
        </row>
        <row r="4531">
          <cell r="P4531">
            <v>0</v>
          </cell>
          <cell r="S4531" t="str">
            <v xml:space="preserve">32939 </v>
          </cell>
          <cell r="AA4531">
            <v>32939</v>
          </cell>
        </row>
        <row r="4532">
          <cell r="P4532">
            <v>0</v>
          </cell>
          <cell r="S4532" t="str">
            <v xml:space="preserve">32939 </v>
          </cell>
          <cell r="AA4532">
            <v>32939</v>
          </cell>
        </row>
        <row r="4533">
          <cell r="P4533">
            <v>0</v>
          </cell>
          <cell r="S4533" t="str">
            <v xml:space="preserve">32939 </v>
          </cell>
          <cell r="AA4533">
            <v>32939</v>
          </cell>
        </row>
        <row r="4534">
          <cell r="P4534">
            <v>0</v>
          </cell>
          <cell r="S4534" t="str">
            <v xml:space="preserve">32939 </v>
          </cell>
          <cell r="AA4534">
            <v>32939</v>
          </cell>
        </row>
        <row r="4535">
          <cell r="P4535">
            <v>0</v>
          </cell>
          <cell r="S4535" t="str">
            <v xml:space="preserve">32939 </v>
          </cell>
          <cell r="AA4535">
            <v>32939</v>
          </cell>
        </row>
        <row r="4536">
          <cell r="P4536">
            <v>0</v>
          </cell>
          <cell r="S4536" t="str">
            <v xml:space="preserve">32939 </v>
          </cell>
          <cell r="AA4536">
            <v>32939</v>
          </cell>
        </row>
        <row r="4537">
          <cell r="P4537">
            <v>0</v>
          </cell>
          <cell r="S4537" t="str">
            <v xml:space="preserve">32939 </v>
          </cell>
          <cell r="AA4537">
            <v>32939</v>
          </cell>
        </row>
        <row r="4538">
          <cell r="P4538">
            <v>0</v>
          </cell>
          <cell r="S4538" t="str">
            <v xml:space="preserve">32939 </v>
          </cell>
          <cell r="AA4538">
            <v>32939</v>
          </cell>
        </row>
        <row r="4539">
          <cell r="P4539">
            <v>0</v>
          </cell>
          <cell r="S4539" t="str">
            <v xml:space="preserve">32939 </v>
          </cell>
          <cell r="AA4539">
            <v>32939</v>
          </cell>
        </row>
        <row r="4540">
          <cell r="P4540">
            <v>0</v>
          </cell>
          <cell r="S4540" t="str">
            <v xml:space="preserve">32939 </v>
          </cell>
          <cell r="AA4540">
            <v>32939</v>
          </cell>
        </row>
        <row r="4541">
          <cell r="P4541">
            <v>0</v>
          </cell>
          <cell r="S4541" t="str">
            <v xml:space="preserve">32939 </v>
          </cell>
          <cell r="AA4541">
            <v>32939</v>
          </cell>
        </row>
        <row r="4542">
          <cell r="P4542">
            <v>0</v>
          </cell>
          <cell r="S4542" t="str">
            <v xml:space="preserve">32939 </v>
          </cell>
          <cell r="AA4542">
            <v>32939</v>
          </cell>
        </row>
        <row r="4543">
          <cell r="P4543">
            <v>0</v>
          </cell>
          <cell r="S4543" t="str">
            <v xml:space="preserve">32939 </v>
          </cell>
          <cell r="AA4543">
            <v>32939</v>
          </cell>
        </row>
        <row r="4544">
          <cell r="P4544">
            <v>0</v>
          </cell>
          <cell r="S4544" t="str">
            <v xml:space="preserve">32939 </v>
          </cell>
          <cell r="AA4544">
            <v>32939</v>
          </cell>
        </row>
        <row r="4545">
          <cell r="P4545">
            <v>0</v>
          </cell>
          <cell r="S4545" t="str">
            <v xml:space="preserve">32939 </v>
          </cell>
          <cell r="AA4545">
            <v>32939</v>
          </cell>
        </row>
        <row r="4546">
          <cell r="P4546">
            <v>0</v>
          </cell>
          <cell r="S4546" t="str">
            <v xml:space="preserve">32939 </v>
          </cell>
          <cell r="AA4546">
            <v>32939</v>
          </cell>
        </row>
        <row r="4547">
          <cell r="P4547">
            <v>0</v>
          </cell>
          <cell r="S4547" t="str">
            <v xml:space="preserve">32939 </v>
          </cell>
          <cell r="AA4547">
            <v>32939</v>
          </cell>
        </row>
        <row r="4548">
          <cell r="P4548">
            <v>0</v>
          </cell>
          <cell r="S4548" t="str">
            <v xml:space="preserve">32939 </v>
          </cell>
          <cell r="AA4548">
            <v>32939</v>
          </cell>
        </row>
        <row r="4549">
          <cell r="P4549">
            <v>0</v>
          </cell>
          <cell r="S4549" t="str">
            <v xml:space="preserve">32939 </v>
          </cell>
          <cell r="AA4549">
            <v>32939</v>
          </cell>
        </row>
        <row r="4550">
          <cell r="P4550">
            <v>0</v>
          </cell>
          <cell r="S4550" t="str">
            <v xml:space="preserve">32939 </v>
          </cell>
          <cell r="AA4550">
            <v>32939</v>
          </cell>
        </row>
        <row r="4551">
          <cell r="P4551">
            <v>0</v>
          </cell>
          <cell r="S4551" t="str">
            <v xml:space="preserve">32939 </v>
          </cell>
          <cell r="AA4551">
            <v>32939</v>
          </cell>
        </row>
        <row r="4552">
          <cell r="P4552">
            <v>0</v>
          </cell>
          <cell r="S4552" t="str">
            <v xml:space="preserve">32939 </v>
          </cell>
          <cell r="AA4552">
            <v>32939</v>
          </cell>
        </row>
        <row r="4553">
          <cell r="P4553">
            <v>0</v>
          </cell>
          <cell r="S4553" t="str">
            <v xml:space="preserve">32939 </v>
          </cell>
          <cell r="AA4553">
            <v>32939</v>
          </cell>
        </row>
        <row r="4554">
          <cell r="P4554">
            <v>0</v>
          </cell>
          <cell r="S4554" t="str">
            <v xml:space="preserve">32939 </v>
          </cell>
          <cell r="AA4554">
            <v>32939</v>
          </cell>
        </row>
        <row r="4555">
          <cell r="P4555">
            <v>0</v>
          </cell>
          <cell r="S4555" t="str">
            <v xml:space="preserve">32939 </v>
          </cell>
          <cell r="AA4555">
            <v>32939</v>
          </cell>
        </row>
        <row r="4556">
          <cell r="P4556">
            <v>0</v>
          </cell>
          <cell r="S4556" t="str">
            <v xml:space="preserve">32939 </v>
          </cell>
          <cell r="AA4556">
            <v>32939</v>
          </cell>
        </row>
        <row r="4557">
          <cell r="P4557">
            <v>0</v>
          </cell>
          <cell r="S4557" t="str">
            <v xml:space="preserve">32939 </v>
          </cell>
          <cell r="AA4557">
            <v>32939</v>
          </cell>
        </row>
        <row r="4558">
          <cell r="P4558">
            <v>0</v>
          </cell>
          <cell r="S4558" t="str">
            <v xml:space="preserve">32939 </v>
          </cell>
          <cell r="AA4558">
            <v>32939</v>
          </cell>
        </row>
        <row r="4559">
          <cell r="P4559">
            <v>0</v>
          </cell>
          <cell r="S4559" t="str">
            <v xml:space="preserve">32939 </v>
          </cell>
          <cell r="AA4559">
            <v>32939</v>
          </cell>
        </row>
        <row r="4560">
          <cell r="P4560">
            <v>0</v>
          </cell>
          <cell r="S4560" t="str">
            <v xml:space="preserve">32939 </v>
          </cell>
          <cell r="AA4560">
            <v>32939</v>
          </cell>
        </row>
        <row r="4561">
          <cell r="P4561">
            <v>0</v>
          </cell>
          <cell r="S4561" t="str">
            <v xml:space="preserve">32939 </v>
          </cell>
          <cell r="AA4561">
            <v>32939</v>
          </cell>
        </row>
        <row r="4562">
          <cell r="P4562">
            <v>0</v>
          </cell>
          <cell r="S4562" t="str">
            <v xml:space="preserve">32939 </v>
          </cell>
          <cell r="AA4562">
            <v>32939</v>
          </cell>
        </row>
        <row r="4563">
          <cell r="P4563">
            <v>0</v>
          </cell>
          <cell r="S4563" t="str">
            <v xml:space="preserve">32939 </v>
          </cell>
          <cell r="AA4563">
            <v>32939</v>
          </cell>
        </row>
        <row r="4564">
          <cell r="P4564">
            <v>0</v>
          </cell>
          <cell r="S4564" t="str">
            <v xml:space="preserve">32939 </v>
          </cell>
          <cell r="AA4564">
            <v>32939</v>
          </cell>
        </row>
        <row r="4565">
          <cell r="P4565">
            <v>0</v>
          </cell>
          <cell r="S4565" t="str">
            <v xml:space="preserve">32939 </v>
          </cell>
          <cell r="AA4565">
            <v>32939</v>
          </cell>
        </row>
        <row r="4566">
          <cell r="P4566">
            <v>0</v>
          </cell>
          <cell r="S4566" t="str">
            <v xml:space="preserve">32939 </v>
          </cell>
          <cell r="AA4566">
            <v>32939</v>
          </cell>
        </row>
        <row r="4567">
          <cell r="P4567">
            <v>0</v>
          </cell>
          <cell r="S4567" t="str">
            <v xml:space="preserve">32939 </v>
          </cell>
          <cell r="AA4567">
            <v>32939</v>
          </cell>
        </row>
        <row r="4568">
          <cell r="P4568">
            <v>0</v>
          </cell>
          <cell r="S4568" t="str">
            <v xml:space="preserve">32939 </v>
          </cell>
          <cell r="AA4568">
            <v>32939</v>
          </cell>
        </row>
        <row r="4569">
          <cell r="P4569">
            <v>0</v>
          </cell>
          <cell r="S4569" t="str">
            <v xml:space="preserve">32939 </v>
          </cell>
          <cell r="AA4569">
            <v>32939</v>
          </cell>
        </row>
        <row r="4570">
          <cell r="P4570">
            <v>0</v>
          </cell>
          <cell r="S4570" t="str">
            <v xml:space="preserve">32939 </v>
          </cell>
          <cell r="AA4570">
            <v>32939</v>
          </cell>
        </row>
        <row r="4571">
          <cell r="P4571">
            <v>0</v>
          </cell>
          <cell r="S4571" t="str">
            <v xml:space="preserve">32939 </v>
          </cell>
          <cell r="AA4571">
            <v>32939</v>
          </cell>
        </row>
        <row r="4572">
          <cell r="P4572">
            <v>0</v>
          </cell>
          <cell r="S4572" t="str">
            <v xml:space="preserve">32939 </v>
          </cell>
          <cell r="AA4572">
            <v>32939</v>
          </cell>
        </row>
        <row r="4573">
          <cell r="P4573">
            <v>0</v>
          </cell>
          <cell r="S4573" t="str">
            <v xml:space="preserve">32939 </v>
          </cell>
          <cell r="AA4573">
            <v>32939</v>
          </cell>
        </row>
        <row r="4574">
          <cell r="P4574">
            <v>0</v>
          </cell>
          <cell r="S4574" t="str">
            <v xml:space="preserve">32939 </v>
          </cell>
          <cell r="AA4574">
            <v>32939</v>
          </cell>
        </row>
        <row r="4575">
          <cell r="P4575">
            <v>0</v>
          </cell>
          <cell r="S4575" t="str">
            <v xml:space="preserve">32939 </v>
          </cell>
          <cell r="AA4575">
            <v>32939</v>
          </cell>
        </row>
        <row r="4576">
          <cell r="P4576">
            <v>0</v>
          </cell>
          <cell r="S4576" t="str">
            <v xml:space="preserve">32939 </v>
          </cell>
          <cell r="AA4576">
            <v>32939</v>
          </cell>
        </row>
        <row r="4577">
          <cell r="P4577">
            <v>0</v>
          </cell>
          <cell r="S4577" t="str">
            <v xml:space="preserve">32939 </v>
          </cell>
          <cell r="AA4577">
            <v>32939</v>
          </cell>
        </row>
        <row r="4578">
          <cell r="P4578">
            <v>0</v>
          </cell>
          <cell r="S4578" t="str">
            <v xml:space="preserve">32939 </v>
          </cell>
          <cell r="AA4578">
            <v>32939</v>
          </cell>
        </row>
        <row r="4579">
          <cell r="P4579">
            <v>0</v>
          </cell>
          <cell r="S4579" t="str">
            <v xml:space="preserve">32939 </v>
          </cell>
          <cell r="AA4579">
            <v>32939</v>
          </cell>
        </row>
        <row r="4580">
          <cell r="P4580">
            <v>0</v>
          </cell>
          <cell r="S4580" t="str">
            <v xml:space="preserve">32939 </v>
          </cell>
          <cell r="AA4580">
            <v>32939</v>
          </cell>
        </row>
        <row r="4581">
          <cell r="P4581">
            <v>0</v>
          </cell>
          <cell r="S4581" t="str">
            <v xml:space="preserve">32939 </v>
          </cell>
          <cell r="AA4581">
            <v>32939</v>
          </cell>
        </row>
        <row r="4582">
          <cell r="P4582">
            <v>0</v>
          </cell>
          <cell r="S4582" t="str">
            <v xml:space="preserve">32939 </v>
          </cell>
          <cell r="AA4582">
            <v>32939</v>
          </cell>
        </row>
        <row r="4583">
          <cell r="P4583">
            <v>0</v>
          </cell>
          <cell r="S4583" t="str">
            <v xml:space="preserve">32939 </v>
          </cell>
          <cell r="AA4583">
            <v>32939</v>
          </cell>
        </row>
        <row r="4584">
          <cell r="P4584">
            <v>0</v>
          </cell>
          <cell r="S4584" t="str">
            <v xml:space="preserve">32939 </v>
          </cell>
          <cell r="AA4584">
            <v>32939</v>
          </cell>
        </row>
        <row r="4585">
          <cell r="P4585">
            <v>0</v>
          </cell>
          <cell r="S4585" t="str">
            <v xml:space="preserve">32939 </v>
          </cell>
          <cell r="AA4585">
            <v>32939</v>
          </cell>
        </row>
        <row r="4586">
          <cell r="P4586">
            <v>0</v>
          </cell>
          <cell r="S4586" t="str">
            <v xml:space="preserve">32939 </v>
          </cell>
          <cell r="AA4586">
            <v>32939</v>
          </cell>
        </row>
        <row r="4587">
          <cell r="P4587">
            <v>0</v>
          </cell>
          <cell r="S4587" t="str">
            <v xml:space="preserve">32939 </v>
          </cell>
          <cell r="AA4587">
            <v>32939</v>
          </cell>
        </row>
        <row r="4588">
          <cell r="P4588">
            <v>0</v>
          </cell>
          <cell r="S4588" t="str">
            <v xml:space="preserve">32939 </v>
          </cell>
          <cell r="AA4588">
            <v>32939</v>
          </cell>
        </row>
        <row r="4589">
          <cell r="P4589">
            <v>0</v>
          </cell>
          <cell r="S4589" t="str">
            <v xml:space="preserve">32939 </v>
          </cell>
          <cell r="AA4589">
            <v>32939</v>
          </cell>
        </row>
        <row r="4590">
          <cell r="P4590">
            <v>0</v>
          </cell>
          <cell r="S4590" t="str">
            <v xml:space="preserve">32939 </v>
          </cell>
          <cell r="AA4590">
            <v>32939</v>
          </cell>
        </row>
        <row r="4591">
          <cell r="P4591">
            <v>0</v>
          </cell>
          <cell r="S4591" t="str">
            <v xml:space="preserve">32939 </v>
          </cell>
          <cell r="AA4591">
            <v>32939</v>
          </cell>
        </row>
        <row r="4592">
          <cell r="P4592">
            <v>0</v>
          </cell>
          <cell r="S4592" t="str">
            <v xml:space="preserve">32939 </v>
          </cell>
          <cell r="AA4592">
            <v>32939</v>
          </cell>
        </row>
        <row r="4593">
          <cell r="P4593">
            <v>0</v>
          </cell>
          <cell r="S4593" t="str">
            <v xml:space="preserve">32939 </v>
          </cell>
          <cell r="AA4593">
            <v>32939</v>
          </cell>
        </row>
        <row r="4594">
          <cell r="P4594">
            <v>0</v>
          </cell>
          <cell r="S4594" t="str">
            <v xml:space="preserve">32939 </v>
          </cell>
          <cell r="AA4594">
            <v>32939</v>
          </cell>
        </row>
        <row r="4595">
          <cell r="P4595">
            <v>0</v>
          </cell>
          <cell r="S4595" t="str">
            <v xml:space="preserve">32939 </v>
          </cell>
          <cell r="AA4595">
            <v>32939</v>
          </cell>
        </row>
        <row r="4596">
          <cell r="P4596">
            <v>0</v>
          </cell>
          <cell r="S4596" t="str">
            <v xml:space="preserve">32939 </v>
          </cell>
          <cell r="AA4596">
            <v>32939</v>
          </cell>
        </row>
        <row r="4597">
          <cell r="P4597">
            <v>0</v>
          </cell>
          <cell r="S4597" t="str">
            <v xml:space="preserve">32939 </v>
          </cell>
          <cell r="AA4597">
            <v>32939</v>
          </cell>
        </row>
        <row r="4598">
          <cell r="P4598">
            <v>0</v>
          </cell>
          <cell r="S4598" t="str">
            <v xml:space="preserve">32939 </v>
          </cell>
          <cell r="AA4598">
            <v>32939</v>
          </cell>
        </row>
        <row r="4599">
          <cell r="P4599">
            <v>0</v>
          </cell>
          <cell r="S4599" t="str">
            <v xml:space="preserve">32939 </v>
          </cell>
          <cell r="AA4599">
            <v>32939</v>
          </cell>
        </row>
        <row r="4600">
          <cell r="P4600">
            <v>0</v>
          </cell>
          <cell r="S4600" t="str">
            <v xml:space="preserve">32939 </v>
          </cell>
          <cell r="AA4600">
            <v>32939</v>
          </cell>
        </row>
        <row r="4601">
          <cell r="P4601">
            <v>0</v>
          </cell>
          <cell r="S4601" t="str">
            <v xml:space="preserve">32939 </v>
          </cell>
          <cell r="AA4601">
            <v>32939</v>
          </cell>
        </row>
        <row r="4602">
          <cell r="P4602">
            <v>0</v>
          </cell>
          <cell r="S4602" t="str">
            <v xml:space="preserve">32939 </v>
          </cell>
          <cell r="AA4602">
            <v>32939</v>
          </cell>
        </row>
        <row r="4603">
          <cell r="P4603">
            <v>0</v>
          </cell>
          <cell r="S4603" t="str">
            <v xml:space="preserve">32939 </v>
          </cell>
          <cell r="AA4603">
            <v>32939</v>
          </cell>
        </row>
        <row r="4604">
          <cell r="P4604">
            <v>0</v>
          </cell>
          <cell r="S4604" t="str">
            <v xml:space="preserve">32939 </v>
          </cell>
          <cell r="AA4604">
            <v>32939</v>
          </cell>
        </row>
        <row r="4605">
          <cell r="P4605">
            <v>0</v>
          </cell>
          <cell r="S4605" t="str">
            <v xml:space="preserve">32939 </v>
          </cell>
          <cell r="AA4605">
            <v>32939</v>
          </cell>
        </row>
        <row r="4606">
          <cell r="P4606">
            <v>0</v>
          </cell>
          <cell r="S4606" t="str">
            <v xml:space="preserve">32939 </v>
          </cell>
          <cell r="AA4606">
            <v>32939</v>
          </cell>
        </row>
        <row r="4607">
          <cell r="P4607">
            <v>0</v>
          </cell>
          <cell r="S4607" t="str">
            <v xml:space="preserve">32939 </v>
          </cell>
          <cell r="AA4607">
            <v>32939</v>
          </cell>
        </row>
        <row r="4608">
          <cell r="P4608">
            <v>0</v>
          </cell>
          <cell r="S4608" t="str">
            <v xml:space="preserve">32939 </v>
          </cell>
          <cell r="AA4608">
            <v>32939</v>
          </cell>
        </row>
        <row r="4609">
          <cell r="P4609">
            <v>0</v>
          </cell>
          <cell r="S4609" t="str">
            <v xml:space="preserve">32939 </v>
          </cell>
          <cell r="AA4609">
            <v>32939</v>
          </cell>
        </row>
        <row r="4610">
          <cell r="P4610">
            <v>0</v>
          </cell>
          <cell r="S4610" t="str">
            <v xml:space="preserve">32939 </v>
          </cell>
          <cell r="AA4610">
            <v>32939</v>
          </cell>
        </row>
        <row r="4611">
          <cell r="P4611">
            <v>0</v>
          </cell>
          <cell r="S4611" t="str">
            <v xml:space="preserve">32939 </v>
          </cell>
          <cell r="AA4611">
            <v>32939</v>
          </cell>
        </row>
        <row r="4612">
          <cell r="P4612">
            <v>0</v>
          </cell>
          <cell r="S4612" t="str">
            <v xml:space="preserve">32939 </v>
          </cell>
          <cell r="AA4612">
            <v>32939</v>
          </cell>
        </row>
        <row r="4613">
          <cell r="P4613">
            <v>0</v>
          </cell>
          <cell r="S4613" t="str">
            <v xml:space="preserve">32939 </v>
          </cell>
          <cell r="AA4613">
            <v>32939</v>
          </cell>
        </row>
        <row r="4614">
          <cell r="P4614">
            <v>0</v>
          </cell>
          <cell r="S4614" t="str">
            <v xml:space="preserve">32939 </v>
          </cell>
          <cell r="AA4614">
            <v>32939</v>
          </cell>
        </row>
        <row r="4615">
          <cell r="P4615">
            <v>0</v>
          </cell>
          <cell r="S4615" t="str">
            <v xml:space="preserve">32939 </v>
          </cell>
          <cell r="AA4615">
            <v>32939</v>
          </cell>
        </row>
        <row r="4616">
          <cell r="P4616">
            <v>0</v>
          </cell>
          <cell r="S4616" t="str">
            <v xml:space="preserve">32939 </v>
          </cell>
          <cell r="AA4616">
            <v>32939</v>
          </cell>
        </row>
        <row r="4617">
          <cell r="P4617">
            <v>0</v>
          </cell>
          <cell r="S4617" t="str">
            <v xml:space="preserve">32939 </v>
          </cell>
          <cell r="AA4617">
            <v>32939</v>
          </cell>
        </row>
        <row r="4618">
          <cell r="P4618">
            <v>0</v>
          </cell>
          <cell r="S4618" t="str">
            <v xml:space="preserve">32939 </v>
          </cell>
          <cell r="AA4618">
            <v>32939</v>
          </cell>
        </row>
        <row r="4619">
          <cell r="P4619">
            <v>0</v>
          </cell>
          <cell r="S4619" t="str">
            <v xml:space="preserve">32939 </v>
          </cell>
          <cell r="AA4619">
            <v>32939</v>
          </cell>
        </row>
        <row r="4620">
          <cell r="P4620">
            <v>0</v>
          </cell>
          <cell r="S4620" t="str">
            <v xml:space="preserve">32939 </v>
          </cell>
          <cell r="AA4620">
            <v>32939</v>
          </cell>
        </row>
        <row r="4621">
          <cell r="P4621">
            <v>0</v>
          </cell>
          <cell r="S4621" t="str">
            <v xml:space="preserve">32939 </v>
          </cell>
          <cell r="AA4621">
            <v>32939</v>
          </cell>
        </row>
        <row r="4622">
          <cell r="P4622">
            <v>0</v>
          </cell>
          <cell r="S4622" t="str">
            <v xml:space="preserve">32939 </v>
          </cell>
          <cell r="AA4622">
            <v>32939</v>
          </cell>
        </row>
        <row r="4623">
          <cell r="P4623">
            <v>0</v>
          </cell>
          <cell r="S4623" t="str">
            <v xml:space="preserve">32939 </v>
          </cell>
          <cell r="AA4623">
            <v>32939</v>
          </cell>
        </row>
        <row r="4624">
          <cell r="P4624">
            <v>0</v>
          </cell>
          <cell r="S4624" t="str">
            <v xml:space="preserve">32939 </v>
          </cell>
          <cell r="AA4624">
            <v>32939</v>
          </cell>
        </row>
        <row r="4625">
          <cell r="P4625">
            <v>0</v>
          </cell>
          <cell r="S4625" t="str">
            <v xml:space="preserve">32939 </v>
          </cell>
          <cell r="AA4625">
            <v>32939</v>
          </cell>
        </row>
        <row r="4626">
          <cell r="P4626">
            <v>0</v>
          </cell>
          <cell r="S4626" t="str">
            <v xml:space="preserve">32939 </v>
          </cell>
          <cell r="AA4626">
            <v>32939</v>
          </cell>
        </row>
        <row r="4627">
          <cell r="P4627">
            <v>0</v>
          </cell>
          <cell r="S4627" t="str">
            <v xml:space="preserve">32939 </v>
          </cell>
          <cell r="AA4627">
            <v>32939</v>
          </cell>
        </row>
        <row r="4628">
          <cell r="P4628">
            <v>0</v>
          </cell>
          <cell r="S4628" t="str">
            <v xml:space="preserve">32939 </v>
          </cell>
          <cell r="AA4628">
            <v>32939</v>
          </cell>
        </row>
        <row r="4629">
          <cell r="P4629">
            <v>0</v>
          </cell>
          <cell r="S4629" t="str">
            <v xml:space="preserve">32939 </v>
          </cell>
          <cell r="AA4629">
            <v>32939</v>
          </cell>
        </row>
        <row r="4630">
          <cell r="P4630">
            <v>0</v>
          </cell>
          <cell r="S4630" t="str">
            <v xml:space="preserve">32939 </v>
          </cell>
          <cell r="AA4630">
            <v>32939</v>
          </cell>
        </row>
        <row r="4631">
          <cell r="P4631">
            <v>0</v>
          </cell>
          <cell r="S4631" t="str">
            <v xml:space="preserve">32939 </v>
          </cell>
          <cell r="AA4631">
            <v>32939</v>
          </cell>
        </row>
        <row r="4632">
          <cell r="P4632">
            <v>0</v>
          </cell>
          <cell r="S4632" t="str">
            <v xml:space="preserve">32939 </v>
          </cell>
          <cell r="AA4632">
            <v>32939</v>
          </cell>
        </row>
        <row r="4633">
          <cell r="P4633">
            <v>0</v>
          </cell>
          <cell r="S4633" t="str">
            <v xml:space="preserve">32939 </v>
          </cell>
          <cell r="AA4633">
            <v>32939</v>
          </cell>
        </row>
        <row r="4634">
          <cell r="P4634">
            <v>0</v>
          </cell>
          <cell r="S4634" t="str">
            <v xml:space="preserve">32939 </v>
          </cell>
          <cell r="AA4634">
            <v>32939</v>
          </cell>
        </row>
        <row r="4635">
          <cell r="P4635">
            <v>0</v>
          </cell>
          <cell r="S4635" t="str">
            <v xml:space="preserve">32939 </v>
          </cell>
          <cell r="AA4635">
            <v>32939</v>
          </cell>
        </row>
        <row r="4636">
          <cell r="P4636">
            <v>0</v>
          </cell>
          <cell r="S4636" t="str">
            <v xml:space="preserve">32939 </v>
          </cell>
          <cell r="AA4636">
            <v>32939</v>
          </cell>
        </row>
        <row r="4637">
          <cell r="P4637">
            <v>0</v>
          </cell>
          <cell r="S4637" t="str">
            <v xml:space="preserve">32939 </v>
          </cell>
          <cell r="AA4637">
            <v>32939</v>
          </cell>
        </row>
        <row r="4638">
          <cell r="P4638">
            <v>0</v>
          </cell>
          <cell r="S4638" t="str">
            <v xml:space="preserve">32939 </v>
          </cell>
          <cell r="AA4638">
            <v>32939</v>
          </cell>
        </row>
        <row r="4639">
          <cell r="P4639">
            <v>0</v>
          </cell>
          <cell r="S4639" t="str">
            <v xml:space="preserve">32939 </v>
          </cell>
          <cell r="AA4639">
            <v>32939</v>
          </cell>
        </row>
        <row r="4640">
          <cell r="P4640">
            <v>0</v>
          </cell>
          <cell r="S4640" t="str">
            <v xml:space="preserve">32939 </v>
          </cell>
          <cell r="AA4640">
            <v>32939</v>
          </cell>
        </row>
        <row r="4641">
          <cell r="P4641">
            <v>0</v>
          </cell>
          <cell r="S4641" t="str">
            <v xml:space="preserve">32939 </v>
          </cell>
          <cell r="AA4641">
            <v>32939</v>
          </cell>
        </row>
        <row r="4642">
          <cell r="P4642">
            <v>0</v>
          </cell>
          <cell r="S4642" t="str">
            <v xml:space="preserve">32939 </v>
          </cell>
          <cell r="AA4642">
            <v>32939</v>
          </cell>
        </row>
        <row r="4643">
          <cell r="P4643">
            <v>0</v>
          </cell>
          <cell r="S4643" t="str">
            <v xml:space="preserve">32939 </v>
          </cell>
          <cell r="AA4643">
            <v>32939</v>
          </cell>
        </row>
        <row r="4644">
          <cell r="P4644">
            <v>0</v>
          </cell>
          <cell r="S4644" t="str">
            <v xml:space="preserve">32939 </v>
          </cell>
          <cell r="AA4644">
            <v>32939</v>
          </cell>
        </row>
        <row r="4645">
          <cell r="P4645">
            <v>0</v>
          </cell>
          <cell r="S4645" t="str">
            <v xml:space="preserve">32939 </v>
          </cell>
          <cell r="AA4645">
            <v>32939</v>
          </cell>
        </row>
        <row r="4646">
          <cell r="P4646">
            <v>0</v>
          </cell>
          <cell r="S4646" t="str">
            <v xml:space="preserve">32939 </v>
          </cell>
          <cell r="AA4646">
            <v>32939</v>
          </cell>
        </row>
        <row r="4647">
          <cell r="P4647">
            <v>0</v>
          </cell>
          <cell r="S4647" t="str">
            <v xml:space="preserve">32939 </v>
          </cell>
          <cell r="AA4647">
            <v>32939</v>
          </cell>
        </row>
        <row r="4648">
          <cell r="P4648">
            <v>0</v>
          </cell>
          <cell r="S4648" t="str">
            <v xml:space="preserve">32939 </v>
          </cell>
          <cell r="AA4648">
            <v>32939</v>
          </cell>
        </row>
        <row r="4649">
          <cell r="P4649">
            <v>0</v>
          </cell>
          <cell r="S4649" t="str">
            <v xml:space="preserve">32939 </v>
          </cell>
          <cell r="AA4649">
            <v>32939</v>
          </cell>
        </row>
        <row r="4650">
          <cell r="P4650">
            <v>0</v>
          </cell>
          <cell r="S4650" t="str">
            <v xml:space="preserve">32939 </v>
          </cell>
          <cell r="AA4650">
            <v>32939</v>
          </cell>
        </row>
        <row r="4651">
          <cell r="P4651">
            <v>0</v>
          </cell>
          <cell r="S4651" t="str">
            <v xml:space="preserve">32939 </v>
          </cell>
          <cell r="AA4651">
            <v>32939</v>
          </cell>
        </row>
        <row r="4652">
          <cell r="P4652">
            <v>0</v>
          </cell>
          <cell r="S4652" t="str">
            <v xml:space="preserve">32939 </v>
          </cell>
          <cell r="AA4652">
            <v>32939</v>
          </cell>
        </row>
        <row r="4653">
          <cell r="P4653">
            <v>0</v>
          </cell>
          <cell r="S4653" t="str">
            <v xml:space="preserve">32939 </v>
          </cell>
          <cell r="AA4653">
            <v>32939</v>
          </cell>
        </row>
        <row r="4654">
          <cell r="P4654">
            <v>0</v>
          </cell>
          <cell r="S4654" t="str">
            <v xml:space="preserve">32939 </v>
          </cell>
          <cell r="AA4654">
            <v>32939</v>
          </cell>
        </row>
        <row r="4655">
          <cell r="P4655">
            <v>0</v>
          </cell>
          <cell r="S4655" t="str">
            <v xml:space="preserve">32939 </v>
          </cell>
          <cell r="AA4655">
            <v>32939</v>
          </cell>
        </row>
        <row r="4656">
          <cell r="P4656">
            <v>0</v>
          </cell>
          <cell r="S4656" t="str">
            <v xml:space="preserve">32939 </v>
          </cell>
          <cell r="AA4656">
            <v>32939</v>
          </cell>
        </row>
        <row r="4657">
          <cell r="P4657">
            <v>0</v>
          </cell>
          <cell r="S4657" t="str">
            <v xml:space="preserve">32939 </v>
          </cell>
          <cell r="AA4657">
            <v>32939</v>
          </cell>
        </row>
        <row r="4658">
          <cell r="P4658">
            <v>0</v>
          </cell>
          <cell r="S4658" t="str">
            <v xml:space="preserve">32939 </v>
          </cell>
          <cell r="AA4658">
            <v>32939</v>
          </cell>
        </row>
        <row r="4659">
          <cell r="P4659">
            <v>0</v>
          </cell>
          <cell r="S4659" t="str">
            <v xml:space="preserve">32939 </v>
          </cell>
          <cell r="AA4659">
            <v>32939</v>
          </cell>
        </row>
        <row r="4660">
          <cell r="P4660">
            <v>0</v>
          </cell>
          <cell r="S4660" t="str">
            <v xml:space="preserve">32939 </v>
          </cell>
          <cell r="AA4660">
            <v>32939</v>
          </cell>
        </row>
        <row r="4661">
          <cell r="P4661">
            <v>0</v>
          </cell>
          <cell r="S4661" t="str">
            <v xml:space="preserve">32939 </v>
          </cell>
          <cell r="AA4661">
            <v>32939</v>
          </cell>
        </row>
        <row r="4662">
          <cell r="P4662">
            <v>0</v>
          </cell>
          <cell r="S4662" t="str">
            <v xml:space="preserve">32939 </v>
          </cell>
          <cell r="AA4662">
            <v>32939</v>
          </cell>
        </row>
        <row r="4663">
          <cell r="P4663">
            <v>0</v>
          </cell>
          <cell r="S4663" t="str">
            <v xml:space="preserve">32939 </v>
          </cell>
          <cell r="AA4663">
            <v>32939</v>
          </cell>
        </row>
        <row r="4664">
          <cell r="P4664">
            <v>0</v>
          </cell>
          <cell r="S4664" t="str">
            <v xml:space="preserve">32939 </v>
          </cell>
          <cell r="AA4664">
            <v>32939</v>
          </cell>
        </row>
        <row r="4665">
          <cell r="P4665">
            <v>0</v>
          </cell>
          <cell r="S4665" t="str">
            <v xml:space="preserve">32939 </v>
          </cell>
          <cell r="AA4665">
            <v>32939</v>
          </cell>
        </row>
        <row r="4666">
          <cell r="P4666">
            <v>0</v>
          </cell>
          <cell r="S4666" t="str">
            <v xml:space="preserve">32939 </v>
          </cell>
          <cell r="AA4666">
            <v>32939</v>
          </cell>
        </row>
        <row r="4667">
          <cell r="P4667">
            <v>0</v>
          </cell>
          <cell r="S4667" t="str">
            <v xml:space="preserve">32939 </v>
          </cell>
          <cell r="AA4667">
            <v>32939</v>
          </cell>
        </row>
        <row r="4668">
          <cell r="P4668">
            <v>0</v>
          </cell>
          <cell r="S4668" t="str">
            <v xml:space="preserve">32939 </v>
          </cell>
          <cell r="AA4668">
            <v>32939</v>
          </cell>
        </row>
        <row r="4669">
          <cell r="P4669">
            <v>0</v>
          </cell>
          <cell r="S4669" t="str">
            <v xml:space="preserve">32939 </v>
          </cell>
          <cell r="AA4669">
            <v>32939</v>
          </cell>
        </row>
        <row r="4670">
          <cell r="P4670">
            <v>0</v>
          </cell>
          <cell r="S4670" t="str">
            <v xml:space="preserve">32939 </v>
          </cell>
          <cell r="AA4670">
            <v>32939</v>
          </cell>
        </row>
        <row r="4671">
          <cell r="P4671">
            <v>0</v>
          </cell>
          <cell r="S4671" t="str">
            <v xml:space="preserve">32939 </v>
          </cell>
          <cell r="AA4671">
            <v>32939</v>
          </cell>
        </row>
        <row r="4672">
          <cell r="P4672">
            <v>0</v>
          </cell>
          <cell r="S4672" t="str">
            <v xml:space="preserve">32939 </v>
          </cell>
          <cell r="AA4672">
            <v>32939</v>
          </cell>
        </row>
        <row r="4673">
          <cell r="P4673">
            <v>0</v>
          </cell>
          <cell r="S4673" t="str">
            <v xml:space="preserve">32939 </v>
          </cell>
          <cell r="AA4673">
            <v>32939</v>
          </cell>
        </row>
        <row r="4674">
          <cell r="P4674">
            <v>0</v>
          </cell>
          <cell r="S4674" t="str">
            <v xml:space="preserve">32939 </v>
          </cell>
          <cell r="AA4674">
            <v>32939</v>
          </cell>
        </row>
        <row r="4675">
          <cell r="P4675">
            <v>0</v>
          </cell>
          <cell r="S4675" t="str">
            <v xml:space="preserve">32939 </v>
          </cell>
          <cell r="AA4675">
            <v>32939</v>
          </cell>
        </row>
        <row r="4676">
          <cell r="P4676">
            <v>0</v>
          </cell>
          <cell r="S4676" t="str">
            <v xml:space="preserve">32939 </v>
          </cell>
          <cell r="AA4676">
            <v>32939</v>
          </cell>
        </row>
        <row r="4677">
          <cell r="P4677">
            <v>0</v>
          </cell>
          <cell r="S4677" t="str">
            <v xml:space="preserve">32939 </v>
          </cell>
          <cell r="AA4677">
            <v>32939</v>
          </cell>
        </row>
        <row r="4678">
          <cell r="P4678">
            <v>0</v>
          </cell>
          <cell r="S4678" t="str">
            <v xml:space="preserve">32939 </v>
          </cell>
          <cell r="AA4678">
            <v>32939</v>
          </cell>
        </row>
        <row r="4679">
          <cell r="P4679">
            <v>0</v>
          </cell>
          <cell r="S4679" t="str">
            <v xml:space="preserve">32939 </v>
          </cell>
          <cell r="AA4679">
            <v>32939</v>
          </cell>
        </row>
        <row r="4680">
          <cell r="P4680">
            <v>0</v>
          </cell>
          <cell r="S4680" t="str">
            <v xml:space="preserve">32939 </v>
          </cell>
          <cell r="AA4680">
            <v>32939</v>
          </cell>
        </row>
        <row r="4681">
          <cell r="P4681">
            <v>0</v>
          </cell>
          <cell r="S4681" t="str">
            <v xml:space="preserve">32939 </v>
          </cell>
          <cell r="AA4681">
            <v>32939</v>
          </cell>
        </row>
        <row r="4682">
          <cell r="P4682">
            <v>0</v>
          </cell>
          <cell r="S4682" t="str">
            <v xml:space="preserve">32939 </v>
          </cell>
          <cell r="AA4682">
            <v>32939</v>
          </cell>
        </row>
        <row r="4683">
          <cell r="P4683">
            <v>0</v>
          </cell>
          <cell r="S4683" t="str">
            <v xml:space="preserve">32939 </v>
          </cell>
          <cell r="AA4683">
            <v>32939</v>
          </cell>
        </row>
        <row r="4684">
          <cell r="P4684">
            <v>0</v>
          </cell>
          <cell r="S4684" t="str">
            <v xml:space="preserve">32939 </v>
          </cell>
          <cell r="AA4684">
            <v>32939</v>
          </cell>
        </row>
        <row r="4685">
          <cell r="P4685">
            <v>0</v>
          </cell>
          <cell r="S4685" t="str">
            <v xml:space="preserve">32939 </v>
          </cell>
          <cell r="AA4685">
            <v>32939</v>
          </cell>
        </row>
        <row r="4686">
          <cell r="P4686">
            <v>0</v>
          </cell>
          <cell r="S4686" t="str">
            <v xml:space="preserve">32939 </v>
          </cell>
          <cell r="AA4686">
            <v>32939</v>
          </cell>
        </row>
        <row r="4687">
          <cell r="P4687">
            <v>0</v>
          </cell>
          <cell r="S4687" t="str">
            <v xml:space="preserve">32939 </v>
          </cell>
          <cell r="AA4687">
            <v>32939</v>
          </cell>
        </row>
        <row r="4688">
          <cell r="P4688">
            <v>0</v>
          </cell>
          <cell r="S4688" t="str">
            <v xml:space="preserve">32939 </v>
          </cell>
          <cell r="AA4688">
            <v>32939</v>
          </cell>
        </row>
        <row r="4689">
          <cell r="P4689">
            <v>0</v>
          </cell>
          <cell r="S4689" t="str">
            <v xml:space="preserve">32939 </v>
          </cell>
          <cell r="AA4689">
            <v>32939</v>
          </cell>
        </row>
        <row r="4690">
          <cell r="P4690">
            <v>0</v>
          </cell>
          <cell r="S4690" t="str">
            <v xml:space="preserve">32939 </v>
          </cell>
          <cell r="AA4690">
            <v>32939</v>
          </cell>
        </row>
        <row r="4691">
          <cell r="P4691">
            <v>0</v>
          </cell>
          <cell r="S4691" t="str">
            <v xml:space="preserve">32939 </v>
          </cell>
          <cell r="AA4691">
            <v>32939</v>
          </cell>
        </row>
        <row r="4692">
          <cell r="P4692">
            <v>0</v>
          </cell>
          <cell r="S4692" t="str">
            <v xml:space="preserve">32939 </v>
          </cell>
          <cell r="AA4692">
            <v>32939</v>
          </cell>
        </row>
        <row r="4693">
          <cell r="P4693">
            <v>0</v>
          </cell>
          <cell r="S4693" t="str">
            <v xml:space="preserve">32939 </v>
          </cell>
          <cell r="AA4693">
            <v>32939</v>
          </cell>
        </row>
        <row r="4694">
          <cell r="P4694">
            <v>0</v>
          </cell>
          <cell r="S4694" t="str">
            <v xml:space="preserve">32939 </v>
          </cell>
          <cell r="AA4694">
            <v>32939</v>
          </cell>
        </row>
        <row r="4695">
          <cell r="P4695">
            <v>0</v>
          </cell>
          <cell r="S4695" t="str">
            <v xml:space="preserve">32939 </v>
          </cell>
          <cell r="AA4695">
            <v>32939</v>
          </cell>
        </row>
        <row r="4696">
          <cell r="P4696">
            <v>0</v>
          </cell>
          <cell r="S4696" t="str">
            <v xml:space="preserve">32939 </v>
          </cell>
          <cell r="AA4696">
            <v>32939</v>
          </cell>
        </row>
        <row r="4697">
          <cell r="P4697">
            <v>0</v>
          </cell>
          <cell r="S4697" t="str">
            <v xml:space="preserve">32939 </v>
          </cell>
          <cell r="AA4697">
            <v>32939</v>
          </cell>
        </row>
        <row r="4698">
          <cell r="P4698">
            <v>0</v>
          </cell>
          <cell r="S4698" t="str">
            <v xml:space="preserve">32939 </v>
          </cell>
          <cell r="AA4698">
            <v>32939</v>
          </cell>
        </row>
        <row r="4699">
          <cell r="P4699">
            <v>0</v>
          </cell>
          <cell r="S4699" t="str">
            <v xml:space="preserve">32939 </v>
          </cell>
          <cell r="AA4699">
            <v>32939</v>
          </cell>
        </row>
        <row r="4700">
          <cell r="P4700">
            <v>0</v>
          </cell>
          <cell r="S4700" t="str">
            <v xml:space="preserve">32939 </v>
          </cell>
          <cell r="AA4700">
            <v>32939</v>
          </cell>
        </row>
        <row r="4701">
          <cell r="P4701">
            <v>0</v>
          </cell>
          <cell r="S4701" t="str">
            <v xml:space="preserve">32939 </v>
          </cell>
          <cell r="AA4701">
            <v>32939</v>
          </cell>
        </row>
        <row r="4702">
          <cell r="P4702">
            <v>0</v>
          </cell>
          <cell r="S4702" t="str">
            <v xml:space="preserve">32939 </v>
          </cell>
          <cell r="AA4702">
            <v>32939</v>
          </cell>
        </row>
        <row r="4703">
          <cell r="P4703">
            <v>0</v>
          </cell>
          <cell r="S4703" t="str">
            <v xml:space="preserve">32939 </v>
          </cell>
          <cell r="AA4703">
            <v>32939</v>
          </cell>
        </row>
        <row r="4704">
          <cell r="P4704">
            <v>0</v>
          </cell>
          <cell r="S4704" t="str">
            <v xml:space="preserve">32939 </v>
          </cell>
          <cell r="AA4704">
            <v>32939</v>
          </cell>
        </row>
        <row r="4705">
          <cell r="P4705">
            <v>0</v>
          </cell>
          <cell r="S4705" t="str">
            <v xml:space="preserve">32939 </v>
          </cell>
          <cell r="AA4705">
            <v>32939</v>
          </cell>
        </row>
        <row r="4706">
          <cell r="P4706">
            <v>0</v>
          </cell>
          <cell r="S4706" t="str">
            <v xml:space="preserve">32939 </v>
          </cell>
          <cell r="AA4706">
            <v>32939</v>
          </cell>
        </row>
        <row r="4707">
          <cell r="P4707">
            <v>0</v>
          </cell>
          <cell r="S4707" t="str">
            <v xml:space="preserve">32939 </v>
          </cell>
          <cell r="AA4707">
            <v>32939</v>
          </cell>
        </row>
        <row r="4708">
          <cell r="P4708">
            <v>0</v>
          </cell>
          <cell r="S4708" t="str">
            <v xml:space="preserve">32939 </v>
          </cell>
          <cell r="AA4708">
            <v>32939</v>
          </cell>
        </row>
        <row r="4709">
          <cell r="P4709">
            <v>0</v>
          </cell>
          <cell r="S4709" t="str">
            <v xml:space="preserve">32939 </v>
          </cell>
          <cell r="AA4709">
            <v>32939</v>
          </cell>
        </row>
        <row r="4710">
          <cell r="P4710">
            <v>0</v>
          </cell>
          <cell r="S4710" t="str">
            <v xml:space="preserve">32939 </v>
          </cell>
          <cell r="AA4710">
            <v>32939</v>
          </cell>
        </row>
        <row r="4711">
          <cell r="P4711">
            <v>0</v>
          </cell>
          <cell r="S4711" t="str">
            <v xml:space="preserve">32939 </v>
          </cell>
          <cell r="AA4711">
            <v>32939</v>
          </cell>
        </row>
        <row r="4712">
          <cell r="P4712">
            <v>0</v>
          </cell>
          <cell r="S4712" t="str">
            <v xml:space="preserve">32939 </v>
          </cell>
          <cell r="AA4712">
            <v>32939</v>
          </cell>
        </row>
        <row r="4713">
          <cell r="P4713">
            <v>0</v>
          </cell>
          <cell r="S4713" t="str">
            <v xml:space="preserve">32939 </v>
          </cell>
          <cell r="AA4713">
            <v>32939</v>
          </cell>
        </row>
        <row r="4714">
          <cell r="P4714">
            <v>0</v>
          </cell>
          <cell r="S4714" t="str">
            <v xml:space="preserve">32939 </v>
          </cell>
          <cell r="AA4714">
            <v>32939</v>
          </cell>
        </row>
        <row r="4715">
          <cell r="P4715">
            <v>0</v>
          </cell>
          <cell r="S4715" t="str">
            <v xml:space="preserve">32939 </v>
          </cell>
          <cell r="AA4715">
            <v>32939</v>
          </cell>
        </row>
        <row r="4716">
          <cell r="P4716">
            <v>0</v>
          </cell>
          <cell r="S4716" t="str">
            <v xml:space="preserve">32939 </v>
          </cell>
          <cell r="AA4716">
            <v>32939</v>
          </cell>
        </row>
        <row r="4717">
          <cell r="P4717">
            <v>0</v>
          </cell>
          <cell r="S4717" t="str">
            <v xml:space="preserve">32939 </v>
          </cell>
          <cell r="AA4717">
            <v>32939</v>
          </cell>
        </row>
        <row r="4718">
          <cell r="P4718">
            <v>0</v>
          </cell>
          <cell r="S4718" t="str">
            <v xml:space="preserve">32939 </v>
          </cell>
          <cell r="AA4718">
            <v>32939</v>
          </cell>
        </row>
        <row r="4719">
          <cell r="P4719">
            <v>0</v>
          </cell>
          <cell r="S4719" t="str">
            <v xml:space="preserve">32939 </v>
          </cell>
          <cell r="AA4719">
            <v>32939</v>
          </cell>
        </row>
        <row r="4720">
          <cell r="P4720">
            <v>0</v>
          </cell>
          <cell r="S4720" t="str">
            <v xml:space="preserve">32939 </v>
          </cell>
          <cell r="AA4720">
            <v>32939</v>
          </cell>
        </row>
        <row r="4721">
          <cell r="P4721">
            <v>0</v>
          </cell>
          <cell r="S4721" t="str">
            <v xml:space="preserve">32939 </v>
          </cell>
          <cell r="AA4721">
            <v>32939</v>
          </cell>
        </row>
        <row r="4722">
          <cell r="P4722">
            <v>0</v>
          </cell>
          <cell r="S4722" t="str">
            <v xml:space="preserve">32939 </v>
          </cell>
          <cell r="AA4722">
            <v>32939</v>
          </cell>
        </row>
        <row r="4723">
          <cell r="P4723">
            <v>0</v>
          </cell>
          <cell r="S4723" t="str">
            <v xml:space="preserve">32939 </v>
          </cell>
          <cell r="AA4723">
            <v>32939</v>
          </cell>
        </row>
        <row r="4724">
          <cell r="P4724">
            <v>0</v>
          </cell>
          <cell r="S4724" t="str">
            <v xml:space="preserve">32939 </v>
          </cell>
          <cell r="AA4724">
            <v>32939</v>
          </cell>
        </row>
        <row r="4725">
          <cell r="P4725">
            <v>0</v>
          </cell>
          <cell r="S4725" t="str">
            <v xml:space="preserve">32939 </v>
          </cell>
          <cell r="AA4725">
            <v>32939</v>
          </cell>
        </row>
        <row r="4726">
          <cell r="P4726">
            <v>0</v>
          </cell>
          <cell r="S4726" t="str">
            <v xml:space="preserve">32939 </v>
          </cell>
          <cell r="AA4726">
            <v>32939</v>
          </cell>
        </row>
        <row r="4727">
          <cell r="P4727">
            <v>0</v>
          </cell>
          <cell r="S4727" t="str">
            <v xml:space="preserve">32939 </v>
          </cell>
          <cell r="AA4727">
            <v>32939</v>
          </cell>
        </row>
        <row r="4728">
          <cell r="P4728">
            <v>0</v>
          </cell>
          <cell r="S4728" t="str">
            <v xml:space="preserve">32939 </v>
          </cell>
          <cell r="AA4728">
            <v>32939</v>
          </cell>
        </row>
        <row r="4729">
          <cell r="P4729">
            <v>0</v>
          </cell>
          <cell r="S4729" t="str">
            <v xml:space="preserve">32939 </v>
          </cell>
          <cell r="AA4729">
            <v>32939</v>
          </cell>
        </row>
        <row r="4730">
          <cell r="P4730">
            <v>0</v>
          </cell>
          <cell r="S4730" t="str">
            <v xml:space="preserve">32939 </v>
          </cell>
          <cell r="AA4730">
            <v>32939</v>
          </cell>
        </row>
        <row r="4731">
          <cell r="P4731">
            <v>0</v>
          </cell>
          <cell r="S4731" t="str">
            <v xml:space="preserve">32939 </v>
          </cell>
          <cell r="AA4731">
            <v>32939</v>
          </cell>
        </row>
        <row r="4732">
          <cell r="P4732">
            <v>0</v>
          </cell>
          <cell r="S4732" t="str">
            <v xml:space="preserve">32939 </v>
          </cell>
          <cell r="AA4732">
            <v>32939</v>
          </cell>
        </row>
        <row r="4733">
          <cell r="P4733">
            <v>0</v>
          </cell>
          <cell r="S4733" t="str">
            <v xml:space="preserve">32939 </v>
          </cell>
          <cell r="AA4733">
            <v>32939</v>
          </cell>
        </row>
        <row r="4734">
          <cell r="P4734">
            <v>0</v>
          </cell>
          <cell r="S4734" t="str">
            <v xml:space="preserve">32939 </v>
          </cell>
          <cell r="AA4734">
            <v>32939</v>
          </cell>
        </row>
        <row r="4735">
          <cell r="P4735">
            <v>0</v>
          </cell>
          <cell r="S4735" t="str">
            <v xml:space="preserve">32939 </v>
          </cell>
          <cell r="AA4735">
            <v>32939</v>
          </cell>
        </row>
        <row r="4736">
          <cell r="P4736">
            <v>0</v>
          </cell>
          <cell r="S4736" t="str">
            <v xml:space="preserve">32939 </v>
          </cell>
          <cell r="AA4736">
            <v>32939</v>
          </cell>
        </row>
        <row r="4737">
          <cell r="P4737">
            <v>0</v>
          </cell>
          <cell r="S4737" t="str">
            <v xml:space="preserve">32939 </v>
          </cell>
          <cell r="AA4737">
            <v>32939</v>
          </cell>
        </row>
        <row r="4738">
          <cell r="P4738">
            <v>0</v>
          </cell>
          <cell r="S4738" t="str">
            <v xml:space="preserve">32939 </v>
          </cell>
          <cell r="AA4738">
            <v>32939</v>
          </cell>
        </row>
        <row r="4739">
          <cell r="P4739">
            <v>0</v>
          </cell>
          <cell r="S4739" t="str">
            <v xml:space="preserve">32939 </v>
          </cell>
          <cell r="AA4739">
            <v>32939</v>
          </cell>
        </row>
        <row r="4740">
          <cell r="P4740">
            <v>0</v>
          </cell>
          <cell r="S4740" t="str">
            <v xml:space="preserve">32939 </v>
          </cell>
          <cell r="AA4740">
            <v>32939</v>
          </cell>
        </row>
        <row r="4741">
          <cell r="P4741">
            <v>0</v>
          </cell>
          <cell r="S4741" t="str">
            <v xml:space="preserve">32939 </v>
          </cell>
          <cell r="AA4741">
            <v>32939</v>
          </cell>
        </row>
        <row r="4742">
          <cell r="P4742">
            <v>0</v>
          </cell>
          <cell r="S4742" t="str">
            <v xml:space="preserve">32939 </v>
          </cell>
          <cell r="AA4742">
            <v>32939</v>
          </cell>
        </row>
        <row r="4743">
          <cell r="P4743">
            <v>0</v>
          </cell>
          <cell r="S4743" t="str">
            <v xml:space="preserve">32939 </v>
          </cell>
          <cell r="AA4743">
            <v>32939</v>
          </cell>
        </row>
        <row r="4744">
          <cell r="P4744">
            <v>0</v>
          </cell>
          <cell r="S4744" t="str">
            <v xml:space="preserve">32939 </v>
          </cell>
          <cell r="AA4744">
            <v>32939</v>
          </cell>
        </row>
        <row r="4745">
          <cell r="P4745">
            <v>0</v>
          </cell>
          <cell r="S4745" t="str">
            <v xml:space="preserve">32939 </v>
          </cell>
          <cell r="AA4745">
            <v>32939</v>
          </cell>
        </row>
        <row r="4746">
          <cell r="P4746">
            <v>0</v>
          </cell>
          <cell r="S4746" t="str">
            <v xml:space="preserve">32939 </v>
          </cell>
          <cell r="AA4746">
            <v>32939</v>
          </cell>
        </row>
        <row r="4747">
          <cell r="P4747">
            <v>0</v>
          </cell>
          <cell r="S4747" t="str">
            <v xml:space="preserve">32939 </v>
          </cell>
          <cell r="AA4747">
            <v>32939</v>
          </cell>
        </row>
        <row r="4748">
          <cell r="P4748">
            <v>0</v>
          </cell>
          <cell r="S4748" t="str">
            <v xml:space="preserve">32939 </v>
          </cell>
          <cell r="AA4748">
            <v>32939</v>
          </cell>
        </row>
        <row r="4749">
          <cell r="P4749">
            <v>0</v>
          </cell>
          <cell r="S4749" t="str">
            <v xml:space="preserve">32939 </v>
          </cell>
          <cell r="AA4749">
            <v>32939</v>
          </cell>
        </row>
        <row r="4750">
          <cell r="P4750">
            <v>0</v>
          </cell>
          <cell r="S4750" t="str">
            <v xml:space="preserve">32939 </v>
          </cell>
          <cell r="AA4750">
            <v>32939</v>
          </cell>
        </row>
        <row r="4751">
          <cell r="P4751">
            <v>0</v>
          </cell>
          <cell r="S4751" t="str">
            <v xml:space="preserve">32939 </v>
          </cell>
          <cell r="AA4751">
            <v>32939</v>
          </cell>
        </row>
        <row r="4752">
          <cell r="P4752">
            <v>0</v>
          </cell>
          <cell r="S4752" t="str">
            <v xml:space="preserve">32939 </v>
          </cell>
          <cell r="AA4752">
            <v>32939</v>
          </cell>
        </row>
        <row r="4753">
          <cell r="P4753">
            <v>0</v>
          </cell>
          <cell r="S4753" t="str">
            <v xml:space="preserve">32939 </v>
          </cell>
          <cell r="AA4753">
            <v>32939</v>
          </cell>
        </row>
        <row r="4754">
          <cell r="P4754">
            <v>0</v>
          </cell>
          <cell r="S4754" t="str">
            <v xml:space="preserve">32939 </v>
          </cell>
          <cell r="AA4754">
            <v>32939</v>
          </cell>
        </row>
        <row r="4755">
          <cell r="P4755">
            <v>0</v>
          </cell>
          <cell r="S4755" t="str">
            <v xml:space="preserve">32939 </v>
          </cell>
          <cell r="AA4755">
            <v>32939</v>
          </cell>
        </row>
        <row r="4756">
          <cell r="P4756">
            <v>0</v>
          </cell>
          <cell r="S4756" t="str">
            <v xml:space="preserve">32939 </v>
          </cell>
          <cell r="AA4756">
            <v>32939</v>
          </cell>
        </row>
        <row r="4757">
          <cell r="P4757">
            <v>0</v>
          </cell>
          <cell r="S4757" t="str">
            <v xml:space="preserve">32939 </v>
          </cell>
          <cell r="AA4757">
            <v>32939</v>
          </cell>
        </row>
        <row r="4758">
          <cell r="P4758">
            <v>0</v>
          </cell>
          <cell r="S4758" t="str">
            <v xml:space="preserve">32939 </v>
          </cell>
          <cell r="AA4758">
            <v>32939</v>
          </cell>
        </row>
        <row r="4759">
          <cell r="P4759">
            <v>0</v>
          </cell>
          <cell r="S4759" t="str">
            <v xml:space="preserve">32939 </v>
          </cell>
          <cell r="AA4759">
            <v>32939</v>
          </cell>
        </row>
        <row r="4760">
          <cell r="P4760">
            <v>0</v>
          </cell>
          <cell r="S4760" t="str">
            <v xml:space="preserve">32939 </v>
          </cell>
          <cell r="AA4760">
            <v>32939</v>
          </cell>
        </row>
        <row r="4761">
          <cell r="P4761">
            <v>0</v>
          </cell>
          <cell r="S4761" t="str">
            <v xml:space="preserve">32939 </v>
          </cell>
          <cell r="AA4761">
            <v>32939</v>
          </cell>
        </row>
        <row r="4762">
          <cell r="P4762">
            <v>0</v>
          </cell>
          <cell r="S4762" t="str">
            <v xml:space="preserve">32939 </v>
          </cell>
          <cell r="AA4762">
            <v>32939</v>
          </cell>
        </row>
        <row r="4763">
          <cell r="P4763">
            <v>0</v>
          </cell>
          <cell r="S4763" t="str">
            <v xml:space="preserve">32939 </v>
          </cell>
          <cell r="AA4763">
            <v>32939</v>
          </cell>
        </row>
        <row r="4764">
          <cell r="P4764">
            <v>0</v>
          </cell>
          <cell r="S4764" t="str">
            <v xml:space="preserve">32939 </v>
          </cell>
          <cell r="AA4764">
            <v>32939</v>
          </cell>
        </row>
        <row r="4765">
          <cell r="P4765">
            <v>0</v>
          </cell>
          <cell r="S4765" t="str">
            <v xml:space="preserve">32939 </v>
          </cell>
          <cell r="AA4765">
            <v>32939</v>
          </cell>
        </row>
        <row r="4766">
          <cell r="P4766">
            <v>0</v>
          </cell>
          <cell r="S4766" t="str">
            <v xml:space="preserve">32939 </v>
          </cell>
          <cell r="AA4766">
            <v>32939</v>
          </cell>
        </row>
        <row r="4767">
          <cell r="P4767">
            <v>0</v>
          </cell>
          <cell r="S4767" t="str">
            <v xml:space="preserve">32939 </v>
          </cell>
          <cell r="AA4767">
            <v>32939</v>
          </cell>
        </row>
        <row r="4768">
          <cell r="P4768">
            <v>0</v>
          </cell>
          <cell r="S4768" t="str">
            <v xml:space="preserve">32939 </v>
          </cell>
          <cell r="AA4768">
            <v>32939</v>
          </cell>
        </row>
        <row r="4769">
          <cell r="P4769">
            <v>0</v>
          </cell>
          <cell r="S4769" t="str">
            <v xml:space="preserve">32939 </v>
          </cell>
          <cell r="AA4769">
            <v>32939</v>
          </cell>
        </row>
        <row r="4770">
          <cell r="P4770">
            <v>0</v>
          </cell>
          <cell r="S4770" t="str">
            <v xml:space="preserve">32939 </v>
          </cell>
          <cell r="AA4770">
            <v>32939</v>
          </cell>
        </row>
        <row r="4771">
          <cell r="P4771">
            <v>0</v>
          </cell>
          <cell r="S4771" t="str">
            <v xml:space="preserve">32939 </v>
          </cell>
          <cell r="AA4771">
            <v>32939</v>
          </cell>
        </row>
        <row r="4772">
          <cell r="P4772">
            <v>0</v>
          </cell>
          <cell r="S4772" t="str">
            <v xml:space="preserve">32939 </v>
          </cell>
          <cell r="AA4772">
            <v>32939</v>
          </cell>
        </row>
        <row r="4773">
          <cell r="P4773">
            <v>0</v>
          </cell>
          <cell r="S4773" t="str">
            <v xml:space="preserve">32939 </v>
          </cell>
          <cell r="AA4773">
            <v>32939</v>
          </cell>
        </row>
        <row r="4774">
          <cell r="P4774">
            <v>0</v>
          </cell>
          <cell r="S4774" t="str">
            <v xml:space="preserve">32939 </v>
          </cell>
          <cell r="AA4774">
            <v>32939</v>
          </cell>
        </row>
        <row r="4775">
          <cell r="P4775">
            <v>0</v>
          </cell>
          <cell r="S4775" t="str">
            <v xml:space="preserve">32939 </v>
          </cell>
          <cell r="AA4775">
            <v>32939</v>
          </cell>
        </row>
        <row r="4776">
          <cell r="P4776">
            <v>0</v>
          </cell>
          <cell r="S4776" t="str">
            <v xml:space="preserve">32939 </v>
          </cell>
          <cell r="AA4776">
            <v>32939</v>
          </cell>
        </row>
        <row r="4777">
          <cell r="P4777">
            <v>0</v>
          </cell>
          <cell r="S4777" t="str">
            <v xml:space="preserve">32939 </v>
          </cell>
          <cell r="AA4777">
            <v>32939</v>
          </cell>
        </row>
        <row r="4778">
          <cell r="P4778">
            <v>0</v>
          </cell>
          <cell r="S4778" t="str">
            <v xml:space="preserve">32939 </v>
          </cell>
          <cell r="AA4778">
            <v>32939</v>
          </cell>
        </row>
        <row r="4779">
          <cell r="P4779">
            <v>0</v>
          </cell>
          <cell r="S4779" t="str">
            <v xml:space="preserve">32939 </v>
          </cell>
          <cell r="AA4779">
            <v>32939</v>
          </cell>
        </row>
        <row r="4780">
          <cell r="P4780">
            <v>0</v>
          </cell>
          <cell r="S4780" t="str">
            <v xml:space="preserve">32939 </v>
          </cell>
          <cell r="AA4780">
            <v>32939</v>
          </cell>
        </row>
        <row r="4781">
          <cell r="P4781">
            <v>0</v>
          </cell>
          <cell r="S4781" t="str">
            <v xml:space="preserve">32939 </v>
          </cell>
          <cell r="AA4781">
            <v>32939</v>
          </cell>
        </row>
        <row r="4782">
          <cell r="P4782">
            <v>0</v>
          </cell>
          <cell r="S4782" t="str">
            <v xml:space="preserve">32939 </v>
          </cell>
          <cell r="AA4782">
            <v>32939</v>
          </cell>
        </row>
        <row r="4783">
          <cell r="P4783">
            <v>0</v>
          </cell>
          <cell r="S4783" t="str">
            <v xml:space="preserve">32939 </v>
          </cell>
          <cell r="AA4783">
            <v>32939</v>
          </cell>
        </row>
        <row r="4784">
          <cell r="P4784">
            <v>0</v>
          </cell>
          <cell r="S4784" t="str">
            <v xml:space="preserve">32939 </v>
          </cell>
          <cell r="AA4784">
            <v>32939</v>
          </cell>
        </row>
        <row r="4785">
          <cell r="P4785">
            <v>0</v>
          </cell>
          <cell r="S4785" t="str">
            <v xml:space="preserve">32939 </v>
          </cell>
          <cell r="AA4785">
            <v>32939</v>
          </cell>
        </row>
        <row r="4786">
          <cell r="P4786">
            <v>0</v>
          </cell>
          <cell r="S4786" t="str">
            <v xml:space="preserve">32939 </v>
          </cell>
          <cell r="AA4786">
            <v>32939</v>
          </cell>
        </row>
        <row r="4787">
          <cell r="P4787">
            <v>0</v>
          </cell>
          <cell r="S4787" t="str">
            <v xml:space="preserve">32939 </v>
          </cell>
          <cell r="AA4787">
            <v>32939</v>
          </cell>
        </row>
        <row r="4788">
          <cell r="P4788">
            <v>0</v>
          </cell>
          <cell r="S4788" t="str">
            <v xml:space="preserve">32939 </v>
          </cell>
          <cell r="AA4788">
            <v>32939</v>
          </cell>
        </row>
        <row r="4789">
          <cell r="P4789">
            <v>0</v>
          </cell>
          <cell r="S4789" t="str">
            <v xml:space="preserve">32939 </v>
          </cell>
          <cell r="AA4789">
            <v>32939</v>
          </cell>
        </row>
        <row r="4790">
          <cell r="P4790">
            <v>0</v>
          </cell>
          <cell r="S4790" t="str">
            <v xml:space="preserve">32939 </v>
          </cell>
          <cell r="AA4790">
            <v>32939</v>
          </cell>
        </row>
        <row r="4791">
          <cell r="P4791">
            <v>0</v>
          </cell>
          <cell r="S4791" t="str">
            <v xml:space="preserve">32939 </v>
          </cell>
          <cell r="AA4791">
            <v>32939</v>
          </cell>
        </row>
        <row r="4792">
          <cell r="P4792">
            <v>0</v>
          </cell>
          <cell r="S4792" t="str">
            <v xml:space="preserve">32939 </v>
          </cell>
          <cell r="AA4792">
            <v>32939</v>
          </cell>
        </row>
        <row r="4793">
          <cell r="P4793">
            <v>0</v>
          </cell>
          <cell r="S4793" t="str">
            <v xml:space="preserve">32939 </v>
          </cell>
          <cell r="AA4793">
            <v>32939</v>
          </cell>
        </row>
        <row r="4794">
          <cell r="P4794">
            <v>0</v>
          </cell>
          <cell r="S4794" t="str">
            <v xml:space="preserve">32939 </v>
          </cell>
          <cell r="AA4794">
            <v>32939</v>
          </cell>
        </row>
        <row r="4795">
          <cell r="P4795">
            <v>0</v>
          </cell>
          <cell r="S4795" t="str">
            <v xml:space="preserve">32939 </v>
          </cell>
          <cell r="AA4795">
            <v>32939</v>
          </cell>
        </row>
        <row r="4796">
          <cell r="P4796">
            <v>0</v>
          </cell>
          <cell r="S4796" t="str">
            <v xml:space="preserve">32939 </v>
          </cell>
          <cell r="AA4796">
            <v>32939</v>
          </cell>
        </row>
        <row r="4797">
          <cell r="P4797">
            <v>0</v>
          </cell>
          <cell r="S4797" t="str">
            <v xml:space="preserve">32939 </v>
          </cell>
          <cell r="AA4797">
            <v>32939</v>
          </cell>
        </row>
        <row r="4798">
          <cell r="P4798">
            <v>0</v>
          </cell>
          <cell r="S4798" t="str">
            <v xml:space="preserve">32939 </v>
          </cell>
          <cell r="AA4798">
            <v>32939</v>
          </cell>
        </row>
        <row r="4799">
          <cell r="P4799">
            <v>0</v>
          </cell>
          <cell r="S4799" t="str">
            <v xml:space="preserve">32939 </v>
          </cell>
          <cell r="AA4799">
            <v>32939</v>
          </cell>
        </row>
        <row r="4800">
          <cell r="P4800">
            <v>0</v>
          </cell>
          <cell r="S4800" t="str">
            <v xml:space="preserve">32939 </v>
          </cell>
          <cell r="AA4800">
            <v>32939</v>
          </cell>
        </row>
        <row r="4801">
          <cell r="P4801">
            <v>0</v>
          </cell>
          <cell r="S4801" t="str">
            <v xml:space="preserve">32939 </v>
          </cell>
          <cell r="AA4801">
            <v>32939</v>
          </cell>
        </row>
        <row r="4802">
          <cell r="P4802">
            <v>0</v>
          </cell>
          <cell r="S4802" t="str">
            <v xml:space="preserve">32939 </v>
          </cell>
          <cell r="AA4802">
            <v>32939</v>
          </cell>
        </row>
        <row r="4803">
          <cell r="P4803">
            <v>0</v>
          </cell>
          <cell r="S4803" t="str">
            <v xml:space="preserve">32939 </v>
          </cell>
          <cell r="AA4803">
            <v>32939</v>
          </cell>
        </row>
        <row r="4804">
          <cell r="P4804">
            <v>0</v>
          </cell>
          <cell r="S4804" t="str">
            <v xml:space="preserve">32939 </v>
          </cell>
          <cell r="AA4804">
            <v>32939</v>
          </cell>
        </row>
        <row r="4805">
          <cell r="P4805">
            <v>0</v>
          </cell>
          <cell r="S4805" t="str">
            <v xml:space="preserve">32939 </v>
          </cell>
          <cell r="AA4805">
            <v>32939</v>
          </cell>
        </row>
        <row r="4806">
          <cell r="P4806">
            <v>0</v>
          </cell>
          <cell r="S4806" t="str">
            <v xml:space="preserve">32939 </v>
          </cell>
          <cell r="AA4806">
            <v>32939</v>
          </cell>
        </row>
        <row r="4807">
          <cell r="P4807">
            <v>0</v>
          </cell>
          <cell r="S4807" t="str">
            <v xml:space="preserve">32939 </v>
          </cell>
          <cell r="AA4807">
            <v>32939</v>
          </cell>
        </row>
        <row r="4808">
          <cell r="P4808">
            <v>0</v>
          </cell>
          <cell r="S4808" t="str">
            <v xml:space="preserve">32939 </v>
          </cell>
          <cell r="AA4808">
            <v>32939</v>
          </cell>
        </row>
        <row r="4809">
          <cell r="P4809">
            <v>0</v>
          </cell>
          <cell r="S4809" t="str">
            <v xml:space="preserve">32939 </v>
          </cell>
          <cell r="AA4809">
            <v>32939</v>
          </cell>
        </row>
        <row r="4810">
          <cell r="P4810">
            <v>0</v>
          </cell>
          <cell r="S4810" t="str">
            <v xml:space="preserve">32939 </v>
          </cell>
          <cell r="AA4810">
            <v>32939</v>
          </cell>
        </row>
        <row r="4811">
          <cell r="P4811">
            <v>0</v>
          </cell>
          <cell r="S4811" t="str">
            <v xml:space="preserve">32939 </v>
          </cell>
          <cell r="AA4811">
            <v>32939</v>
          </cell>
        </row>
        <row r="4812">
          <cell r="P4812">
            <v>0</v>
          </cell>
          <cell r="S4812" t="str">
            <v xml:space="preserve">32939 </v>
          </cell>
          <cell r="AA4812">
            <v>32939</v>
          </cell>
        </row>
        <row r="4813">
          <cell r="P4813">
            <v>0</v>
          </cell>
          <cell r="S4813" t="str">
            <v xml:space="preserve">32939 </v>
          </cell>
          <cell r="AA4813">
            <v>32939</v>
          </cell>
        </row>
        <row r="4814">
          <cell r="P4814">
            <v>0</v>
          </cell>
          <cell r="S4814" t="str">
            <v xml:space="preserve">32939 </v>
          </cell>
          <cell r="AA4814">
            <v>32939</v>
          </cell>
        </row>
        <row r="4815">
          <cell r="P4815">
            <v>0</v>
          </cell>
          <cell r="S4815" t="str">
            <v xml:space="preserve">32939 </v>
          </cell>
          <cell r="AA4815">
            <v>32939</v>
          </cell>
        </row>
        <row r="4816">
          <cell r="P4816">
            <v>0</v>
          </cell>
          <cell r="S4816" t="str">
            <v xml:space="preserve">32939 </v>
          </cell>
          <cell r="AA4816">
            <v>32939</v>
          </cell>
        </row>
        <row r="4817">
          <cell r="P4817">
            <v>0</v>
          </cell>
          <cell r="S4817" t="str">
            <v xml:space="preserve">32939 </v>
          </cell>
          <cell r="AA4817">
            <v>32939</v>
          </cell>
        </row>
        <row r="4818">
          <cell r="P4818">
            <v>0</v>
          </cell>
          <cell r="S4818" t="str">
            <v xml:space="preserve">32939 </v>
          </cell>
          <cell r="AA4818">
            <v>32939</v>
          </cell>
        </row>
        <row r="4819">
          <cell r="P4819">
            <v>0</v>
          </cell>
          <cell r="S4819" t="str">
            <v xml:space="preserve">32939 </v>
          </cell>
          <cell r="AA4819">
            <v>32939</v>
          </cell>
        </row>
        <row r="4820">
          <cell r="P4820">
            <v>0</v>
          </cell>
          <cell r="S4820" t="str">
            <v xml:space="preserve">32939 </v>
          </cell>
          <cell r="AA4820">
            <v>32939</v>
          </cell>
        </row>
        <row r="4821">
          <cell r="P4821">
            <v>0</v>
          </cell>
          <cell r="S4821" t="str">
            <v xml:space="preserve">32939 </v>
          </cell>
          <cell r="AA4821">
            <v>32939</v>
          </cell>
        </row>
        <row r="4822">
          <cell r="P4822">
            <v>0</v>
          </cell>
          <cell r="S4822" t="str">
            <v xml:space="preserve">32939 </v>
          </cell>
          <cell r="AA4822">
            <v>32939</v>
          </cell>
        </row>
        <row r="4823">
          <cell r="P4823">
            <v>0</v>
          </cell>
          <cell r="S4823" t="str">
            <v xml:space="preserve">32939 </v>
          </cell>
          <cell r="AA4823">
            <v>32939</v>
          </cell>
        </row>
        <row r="4824">
          <cell r="P4824">
            <v>0</v>
          </cell>
          <cell r="S4824" t="str">
            <v xml:space="preserve">32939 </v>
          </cell>
          <cell r="AA4824">
            <v>32939</v>
          </cell>
        </row>
        <row r="4825">
          <cell r="P4825">
            <v>0</v>
          </cell>
          <cell r="S4825" t="str">
            <v xml:space="preserve">32939 </v>
          </cell>
          <cell r="AA4825">
            <v>32939</v>
          </cell>
        </row>
        <row r="4826">
          <cell r="P4826">
            <v>0</v>
          </cell>
          <cell r="S4826" t="str">
            <v xml:space="preserve">32939 </v>
          </cell>
          <cell r="AA4826">
            <v>32939</v>
          </cell>
        </row>
        <row r="4827">
          <cell r="P4827">
            <v>0</v>
          </cell>
          <cell r="S4827" t="str">
            <v xml:space="preserve">32939 </v>
          </cell>
          <cell r="AA4827">
            <v>32939</v>
          </cell>
        </row>
        <row r="4828">
          <cell r="P4828">
            <v>0</v>
          </cell>
          <cell r="S4828" t="str">
            <v xml:space="preserve">32939 </v>
          </cell>
          <cell r="AA4828">
            <v>32939</v>
          </cell>
        </row>
        <row r="4829">
          <cell r="P4829">
            <v>0</v>
          </cell>
          <cell r="S4829" t="str">
            <v xml:space="preserve">32939 </v>
          </cell>
          <cell r="AA4829">
            <v>32939</v>
          </cell>
        </row>
        <row r="4830">
          <cell r="P4830">
            <v>0</v>
          </cell>
          <cell r="S4830" t="str">
            <v xml:space="preserve">32939 </v>
          </cell>
          <cell r="AA4830">
            <v>32939</v>
          </cell>
        </row>
        <row r="4831">
          <cell r="P4831">
            <v>0</v>
          </cell>
          <cell r="S4831" t="str">
            <v xml:space="preserve">32939 </v>
          </cell>
          <cell r="AA4831">
            <v>32939</v>
          </cell>
        </row>
        <row r="4832">
          <cell r="P4832">
            <v>0</v>
          </cell>
          <cell r="S4832" t="str">
            <v xml:space="preserve">32939 </v>
          </cell>
          <cell r="AA4832">
            <v>32939</v>
          </cell>
        </row>
        <row r="4833">
          <cell r="P4833">
            <v>0</v>
          </cell>
          <cell r="S4833" t="str">
            <v xml:space="preserve">32939 </v>
          </cell>
          <cell r="AA4833">
            <v>32939</v>
          </cell>
        </row>
        <row r="4834">
          <cell r="P4834">
            <v>0</v>
          </cell>
          <cell r="S4834" t="str">
            <v xml:space="preserve">32939 </v>
          </cell>
          <cell r="AA4834">
            <v>32939</v>
          </cell>
        </row>
        <row r="4835">
          <cell r="P4835">
            <v>0</v>
          </cell>
          <cell r="S4835" t="str">
            <v xml:space="preserve">32939 </v>
          </cell>
          <cell r="AA4835">
            <v>32939</v>
          </cell>
        </row>
        <row r="4836">
          <cell r="P4836">
            <v>0</v>
          </cell>
          <cell r="S4836" t="str">
            <v xml:space="preserve">32939 </v>
          </cell>
          <cell r="AA4836">
            <v>32939</v>
          </cell>
        </row>
        <row r="4837">
          <cell r="P4837">
            <v>0</v>
          </cell>
          <cell r="S4837" t="str">
            <v xml:space="preserve">32939 </v>
          </cell>
          <cell r="AA4837">
            <v>32939</v>
          </cell>
        </row>
        <row r="4838">
          <cell r="P4838">
            <v>0</v>
          </cell>
          <cell r="S4838" t="str">
            <v xml:space="preserve">32939 </v>
          </cell>
          <cell r="AA4838">
            <v>32939</v>
          </cell>
        </row>
        <row r="4839">
          <cell r="P4839">
            <v>0</v>
          </cell>
          <cell r="S4839" t="str">
            <v xml:space="preserve">32939 </v>
          </cell>
          <cell r="AA4839">
            <v>32939</v>
          </cell>
        </row>
        <row r="4840">
          <cell r="P4840">
            <v>0</v>
          </cell>
          <cell r="S4840" t="str">
            <v xml:space="preserve">32939 </v>
          </cell>
          <cell r="AA4840">
            <v>32939</v>
          </cell>
        </row>
        <row r="4841">
          <cell r="P4841">
            <v>0</v>
          </cell>
          <cell r="S4841" t="str">
            <v xml:space="preserve">32939 </v>
          </cell>
          <cell r="AA4841">
            <v>32939</v>
          </cell>
        </row>
        <row r="4842">
          <cell r="P4842">
            <v>0</v>
          </cell>
          <cell r="S4842" t="str">
            <v xml:space="preserve">32939 </v>
          </cell>
          <cell r="AA4842">
            <v>32939</v>
          </cell>
        </row>
        <row r="4843">
          <cell r="P4843">
            <v>0</v>
          </cell>
          <cell r="S4843" t="str">
            <v xml:space="preserve">32939 </v>
          </cell>
          <cell r="AA4843">
            <v>32939</v>
          </cell>
        </row>
        <row r="4844">
          <cell r="P4844">
            <v>0</v>
          </cell>
          <cell r="S4844" t="str">
            <v xml:space="preserve">32939 </v>
          </cell>
          <cell r="AA4844">
            <v>32939</v>
          </cell>
        </row>
        <row r="4845">
          <cell r="P4845">
            <v>0</v>
          </cell>
          <cell r="S4845" t="str">
            <v xml:space="preserve">32939 </v>
          </cell>
          <cell r="AA4845">
            <v>32939</v>
          </cell>
        </row>
        <row r="4846">
          <cell r="P4846">
            <v>0</v>
          </cell>
          <cell r="S4846" t="str">
            <v xml:space="preserve">32939 </v>
          </cell>
          <cell r="AA4846">
            <v>32939</v>
          </cell>
        </row>
        <row r="4847">
          <cell r="P4847">
            <v>0</v>
          </cell>
          <cell r="S4847" t="str">
            <v xml:space="preserve">32939 </v>
          </cell>
          <cell r="AA4847">
            <v>32939</v>
          </cell>
        </row>
        <row r="4848">
          <cell r="P4848">
            <v>0</v>
          </cell>
          <cell r="S4848" t="str">
            <v xml:space="preserve">32939 </v>
          </cell>
          <cell r="AA4848">
            <v>32939</v>
          </cell>
        </row>
        <row r="4849">
          <cell r="P4849">
            <v>0</v>
          </cell>
          <cell r="S4849" t="str">
            <v xml:space="preserve">32939 </v>
          </cell>
          <cell r="AA4849">
            <v>32939</v>
          </cell>
        </row>
        <row r="4850">
          <cell r="P4850">
            <v>0</v>
          </cell>
          <cell r="S4850" t="str">
            <v xml:space="preserve">32939 </v>
          </cell>
          <cell r="AA4850">
            <v>32939</v>
          </cell>
        </row>
        <row r="4851">
          <cell r="P4851">
            <v>0</v>
          </cell>
          <cell r="S4851" t="str">
            <v xml:space="preserve">32939 </v>
          </cell>
          <cell r="AA4851">
            <v>32939</v>
          </cell>
        </row>
        <row r="4852">
          <cell r="P4852">
            <v>0</v>
          </cell>
          <cell r="S4852" t="str">
            <v xml:space="preserve">32939 </v>
          </cell>
          <cell r="AA4852">
            <v>32939</v>
          </cell>
        </row>
        <row r="4853">
          <cell r="P4853">
            <v>0</v>
          </cell>
          <cell r="S4853" t="str">
            <v xml:space="preserve">32939 </v>
          </cell>
          <cell r="AA4853">
            <v>32939</v>
          </cell>
        </row>
        <row r="4854">
          <cell r="P4854">
            <v>0</v>
          </cell>
          <cell r="S4854" t="str">
            <v xml:space="preserve">32939 </v>
          </cell>
          <cell r="AA4854">
            <v>32939</v>
          </cell>
        </row>
        <row r="4855">
          <cell r="P4855">
            <v>0</v>
          </cell>
          <cell r="S4855" t="str">
            <v xml:space="preserve">32939 </v>
          </cell>
          <cell r="AA4855">
            <v>32939</v>
          </cell>
        </row>
        <row r="4856">
          <cell r="P4856">
            <v>0</v>
          </cell>
          <cell r="S4856" t="str">
            <v xml:space="preserve">32939 </v>
          </cell>
          <cell r="AA4856">
            <v>32939</v>
          </cell>
        </row>
        <row r="4857">
          <cell r="P4857">
            <v>0</v>
          </cell>
          <cell r="S4857" t="str">
            <v xml:space="preserve">32939 </v>
          </cell>
          <cell r="AA4857">
            <v>32939</v>
          </cell>
        </row>
        <row r="4858">
          <cell r="P4858">
            <v>0</v>
          </cell>
          <cell r="S4858" t="str">
            <v xml:space="preserve">32939 </v>
          </cell>
          <cell r="AA4858">
            <v>32939</v>
          </cell>
        </row>
        <row r="4859">
          <cell r="P4859">
            <v>0</v>
          </cell>
          <cell r="S4859" t="str">
            <v xml:space="preserve">32939 </v>
          </cell>
          <cell r="AA4859">
            <v>32939</v>
          </cell>
        </row>
        <row r="4860">
          <cell r="P4860">
            <v>0</v>
          </cell>
          <cell r="S4860" t="str">
            <v xml:space="preserve">32939 </v>
          </cell>
          <cell r="AA4860">
            <v>32939</v>
          </cell>
        </row>
        <row r="4861">
          <cell r="P4861">
            <v>0</v>
          </cell>
          <cell r="S4861" t="str">
            <v xml:space="preserve">32939 </v>
          </cell>
          <cell r="AA4861">
            <v>32939</v>
          </cell>
        </row>
        <row r="4862">
          <cell r="P4862">
            <v>0</v>
          </cell>
          <cell r="S4862" t="str">
            <v xml:space="preserve">32939 </v>
          </cell>
          <cell r="AA4862">
            <v>32939</v>
          </cell>
        </row>
        <row r="4863">
          <cell r="P4863">
            <v>0</v>
          </cell>
          <cell r="S4863" t="str">
            <v xml:space="preserve">32939 </v>
          </cell>
          <cell r="AA4863">
            <v>32939</v>
          </cell>
        </row>
        <row r="4864">
          <cell r="P4864">
            <v>0</v>
          </cell>
          <cell r="S4864" t="str">
            <v xml:space="preserve">32939 </v>
          </cell>
          <cell r="AA4864">
            <v>32939</v>
          </cell>
        </row>
        <row r="4865">
          <cell r="P4865">
            <v>0</v>
          </cell>
          <cell r="S4865" t="str">
            <v xml:space="preserve">32939 </v>
          </cell>
          <cell r="AA4865">
            <v>32939</v>
          </cell>
        </row>
        <row r="4866">
          <cell r="P4866">
            <v>0</v>
          </cell>
          <cell r="S4866" t="str">
            <v xml:space="preserve">32939 </v>
          </cell>
          <cell r="AA4866">
            <v>32939</v>
          </cell>
        </row>
        <row r="4867">
          <cell r="P4867">
            <v>0</v>
          </cell>
          <cell r="S4867" t="str">
            <v xml:space="preserve">32939 </v>
          </cell>
          <cell r="AA4867">
            <v>32939</v>
          </cell>
        </row>
        <row r="4868">
          <cell r="P4868">
            <v>0</v>
          </cell>
          <cell r="S4868" t="str">
            <v xml:space="preserve">32939 </v>
          </cell>
          <cell r="AA4868">
            <v>32939</v>
          </cell>
        </row>
        <row r="4869">
          <cell r="P4869">
            <v>0</v>
          </cell>
          <cell r="S4869" t="str">
            <v xml:space="preserve">32939 </v>
          </cell>
          <cell r="AA4869">
            <v>32939</v>
          </cell>
        </row>
        <row r="4870">
          <cell r="P4870">
            <v>0</v>
          </cell>
          <cell r="S4870" t="str">
            <v xml:space="preserve">32939 </v>
          </cell>
          <cell r="AA4870">
            <v>32939</v>
          </cell>
        </row>
        <row r="4871">
          <cell r="P4871">
            <v>0</v>
          </cell>
          <cell r="S4871" t="str">
            <v xml:space="preserve">32939 </v>
          </cell>
          <cell r="AA4871">
            <v>32939</v>
          </cell>
        </row>
        <row r="4872">
          <cell r="P4872">
            <v>0</v>
          </cell>
          <cell r="S4872" t="str">
            <v xml:space="preserve">32939 </v>
          </cell>
          <cell r="AA4872">
            <v>32939</v>
          </cell>
        </row>
        <row r="4873">
          <cell r="P4873">
            <v>0</v>
          </cell>
          <cell r="S4873" t="str">
            <v xml:space="preserve">32939 </v>
          </cell>
          <cell r="AA4873">
            <v>32939</v>
          </cell>
        </row>
        <row r="4874">
          <cell r="P4874">
            <v>0</v>
          </cell>
          <cell r="S4874" t="str">
            <v xml:space="preserve">32939 </v>
          </cell>
          <cell r="AA4874">
            <v>32939</v>
          </cell>
        </row>
        <row r="4875">
          <cell r="P4875">
            <v>0</v>
          </cell>
          <cell r="S4875" t="str">
            <v xml:space="preserve">32939 </v>
          </cell>
          <cell r="AA4875">
            <v>32939</v>
          </cell>
        </row>
        <row r="4876">
          <cell r="P4876">
            <v>0</v>
          </cell>
          <cell r="S4876" t="str">
            <v xml:space="preserve">32939 </v>
          </cell>
          <cell r="AA4876">
            <v>32939</v>
          </cell>
        </row>
        <row r="4877">
          <cell r="P4877">
            <v>0</v>
          </cell>
          <cell r="S4877" t="str">
            <v xml:space="preserve">32939 </v>
          </cell>
          <cell r="AA4877">
            <v>32939</v>
          </cell>
        </row>
        <row r="4878">
          <cell r="P4878">
            <v>0</v>
          </cell>
          <cell r="S4878" t="str">
            <v xml:space="preserve">32939 </v>
          </cell>
          <cell r="AA4878">
            <v>32939</v>
          </cell>
        </row>
        <row r="4879">
          <cell r="P4879">
            <v>0</v>
          </cell>
          <cell r="S4879" t="str">
            <v xml:space="preserve">32939 </v>
          </cell>
          <cell r="AA4879">
            <v>32939</v>
          </cell>
        </row>
        <row r="4880">
          <cell r="P4880">
            <v>0</v>
          </cell>
          <cell r="S4880" t="str">
            <v xml:space="preserve">32939 </v>
          </cell>
          <cell r="AA4880">
            <v>32939</v>
          </cell>
        </row>
        <row r="4881">
          <cell r="P4881">
            <v>0</v>
          </cell>
          <cell r="S4881" t="str">
            <v xml:space="preserve">32939 </v>
          </cell>
          <cell r="AA4881">
            <v>32939</v>
          </cell>
        </row>
        <row r="4882">
          <cell r="P4882">
            <v>0</v>
          </cell>
          <cell r="S4882" t="str">
            <v xml:space="preserve">32939 </v>
          </cell>
          <cell r="AA4882">
            <v>32939</v>
          </cell>
        </row>
        <row r="4883">
          <cell r="P4883">
            <v>0</v>
          </cell>
          <cell r="S4883" t="str">
            <v xml:space="preserve">32939 </v>
          </cell>
          <cell r="AA4883">
            <v>32939</v>
          </cell>
        </row>
        <row r="4884">
          <cell r="P4884">
            <v>0</v>
          </cell>
          <cell r="S4884" t="str">
            <v xml:space="preserve">32939 </v>
          </cell>
          <cell r="AA4884">
            <v>32939</v>
          </cell>
        </row>
        <row r="4885">
          <cell r="P4885">
            <v>0</v>
          </cell>
          <cell r="S4885" t="str">
            <v xml:space="preserve">32939 </v>
          </cell>
          <cell r="AA4885">
            <v>32939</v>
          </cell>
        </row>
        <row r="4886">
          <cell r="P4886">
            <v>0</v>
          </cell>
          <cell r="S4886" t="str">
            <v xml:space="preserve">32939 </v>
          </cell>
          <cell r="AA4886">
            <v>32939</v>
          </cell>
        </row>
        <row r="4887">
          <cell r="P4887">
            <v>0</v>
          </cell>
          <cell r="S4887" t="str">
            <v xml:space="preserve">32939 </v>
          </cell>
          <cell r="AA4887">
            <v>32939</v>
          </cell>
        </row>
        <row r="4888">
          <cell r="P4888">
            <v>0</v>
          </cell>
          <cell r="S4888" t="str">
            <v xml:space="preserve">32939 </v>
          </cell>
          <cell r="AA4888">
            <v>32939</v>
          </cell>
        </row>
        <row r="4889">
          <cell r="P4889">
            <v>0</v>
          </cell>
          <cell r="S4889" t="str">
            <v xml:space="preserve">32939 </v>
          </cell>
          <cell r="AA4889">
            <v>32939</v>
          </cell>
        </row>
        <row r="4890">
          <cell r="P4890">
            <v>0</v>
          </cell>
          <cell r="S4890" t="str">
            <v xml:space="preserve">32939 </v>
          </cell>
          <cell r="AA4890">
            <v>32939</v>
          </cell>
        </row>
        <row r="4891">
          <cell r="P4891">
            <v>0</v>
          </cell>
          <cell r="S4891" t="str">
            <v xml:space="preserve">32939 </v>
          </cell>
          <cell r="AA4891">
            <v>32939</v>
          </cell>
        </row>
        <row r="4892">
          <cell r="P4892">
            <v>0</v>
          </cell>
          <cell r="S4892" t="str">
            <v xml:space="preserve">32939 </v>
          </cell>
          <cell r="AA4892">
            <v>32939</v>
          </cell>
        </row>
        <row r="4893">
          <cell r="P4893">
            <v>0</v>
          </cell>
          <cell r="S4893" t="str">
            <v xml:space="preserve">32939 </v>
          </cell>
          <cell r="AA4893">
            <v>32939</v>
          </cell>
        </row>
        <row r="4894">
          <cell r="P4894">
            <v>0</v>
          </cell>
          <cell r="S4894" t="str">
            <v xml:space="preserve">32939 </v>
          </cell>
          <cell r="AA4894">
            <v>32939</v>
          </cell>
        </row>
        <row r="4895">
          <cell r="P4895">
            <v>0</v>
          </cell>
          <cell r="S4895" t="str">
            <v xml:space="preserve">32939 </v>
          </cell>
          <cell r="AA4895">
            <v>32939</v>
          </cell>
        </row>
        <row r="4896">
          <cell r="P4896">
            <v>0</v>
          </cell>
          <cell r="S4896" t="str">
            <v xml:space="preserve">32939 </v>
          </cell>
          <cell r="AA4896">
            <v>32939</v>
          </cell>
        </row>
        <row r="4897">
          <cell r="P4897">
            <v>0</v>
          </cell>
          <cell r="S4897" t="str">
            <v xml:space="preserve">32939 </v>
          </cell>
          <cell r="AA4897">
            <v>32939</v>
          </cell>
        </row>
        <row r="4898">
          <cell r="P4898">
            <v>0</v>
          </cell>
          <cell r="S4898" t="str">
            <v xml:space="preserve">32939 </v>
          </cell>
          <cell r="AA4898">
            <v>32939</v>
          </cell>
        </row>
        <row r="4899">
          <cell r="P4899">
            <v>0</v>
          </cell>
          <cell r="S4899" t="str">
            <v xml:space="preserve">32939 </v>
          </cell>
          <cell r="AA4899">
            <v>32939</v>
          </cell>
        </row>
        <row r="4900">
          <cell r="P4900">
            <v>0</v>
          </cell>
          <cell r="S4900" t="str">
            <v xml:space="preserve">32939 </v>
          </cell>
          <cell r="AA4900">
            <v>32939</v>
          </cell>
        </row>
        <row r="4901">
          <cell r="P4901">
            <v>0</v>
          </cell>
          <cell r="S4901" t="str">
            <v xml:space="preserve">32939 </v>
          </cell>
          <cell r="AA4901">
            <v>32939</v>
          </cell>
        </row>
        <row r="4902">
          <cell r="P4902">
            <v>0</v>
          </cell>
          <cell r="S4902" t="str">
            <v xml:space="preserve">32939 </v>
          </cell>
          <cell r="AA4902">
            <v>32939</v>
          </cell>
        </row>
        <row r="4903">
          <cell r="P4903">
            <v>0</v>
          </cell>
          <cell r="S4903" t="str">
            <v xml:space="preserve">32939 </v>
          </cell>
          <cell r="AA4903">
            <v>32939</v>
          </cell>
        </row>
        <row r="4904">
          <cell r="P4904">
            <v>0</v>
          </cell>
          <cell r="S4904" t="str">
            <v xml:space="preserve">32939 </v>
          </cell>
          <cell r="AA4904">
            <v>32939</v>
          </cell>
        </row>
        <row r="4905">
          <cell r="P4905">
            <v>0</v>
          </cell>
          <cell r="S4905" t="str">
            <v xml:space="preserve">32939 </v>
          </cell>
          <cell r="AA4905">
            <v>32939</v>
          </cell>
        </row>
        <row r="4906">
          <cell r="P4906">
            <v>0</v>
          </cell>
          <cell r="S4906" t="str">
            <v xml:space="preserve">32939 </v>
          </cell>
          <cell r="AA4906">
            <v>32939</v>
          </cell>
        </row>
        <row r="4907">
          <cell r="P4907">
            <v>0</v>
          </cell>
          <cell r="S4907" t="str">
            <v xml:space="preserve">32939 </v>
          </cell>
          <cell r="AA4907">
            <v>32939</v>
          </cell>
        </row>
        <row r="4908">
          <cell r="P4908">
            <v>0</v>
          </cell>
          <cell r="S4908" t="str">
            <v xml:space="preserve">32939 </v>
          </cell>
          <cell r="AA4908">
            <v>32939</v>
          </cell>
        </row>
        <row r="4909">
          <cell r="P4909">
            <v>0</v>
          </cell>
          <cell r="S4909" t="str">
            <v xml:space="preserve">32939 </v>
          </cell>
          <cell r="AA4909">
            <v>32939</v>
          </cell>
        </row>
        <row r="4910">
          <cell r="P4910">
            <v>0</v>
          </cell>
          <cell r="S4910" t="str">
            <v xml:space="preserve">32939 </v>
          </cell>
          <cell r="AA4910">
            <v>32939</v>
          </cell>
        </row>
        <row r="4911">
          <cell r="P4911">
            <v>0</v>
          </cell>
          <cell r="S4911" t="str">
            <v xml:space="preserve">32939 </v>
          </cell>
          <cell r="AA4911">
            <v>32939</v>
          </cell>
        </row>
        <row r="4912">
          <cell r="P4912">
            <v>0</v>
          </cell>
          <cell r="S4912" t="str">
            <v xml:space="preserve">32939 </v>
          </cell>
          <cell r="AA4912">
            <v>32939</v>
          </cell>
        </row>
        <row r="4913">
          <cell r="P4913">
            <v>0</v>
          </cell>
          <cell r="S4913" t="str">
            <v xml:space="preserve">32939 </v>
          </cell>
          <cell r="AA4913">
            <v>32939</v>
          </cell>
        </row>
        <row r="4914">
          <cell r="P4914">
            <v>0</v>
          </cell>
          <cell r="S4914" t="str">
            <v xml:space="preserve">32939 </v>
          </cell>
          <cell r="AA4914">
            <v>32939</v>
          </cell>
        </row>
        <row r="4915">
          <cell r="P4915">
            <v>0</v>
          </cell>
          <cell r="S4915" t="str">
            <v xml:space="preserve">32939 </v>
          </cell>
          <cell r="AA4915">
            <v>32939</v>
          </cell>
        </row>
        <row r="4916">
          <cell r="P4916">
            <v>0</v>
          </cell>
          <cell r="S4916" t="str">
            <v xml:space="preserve">32939 </v>
          </cell>
          <cell r="AA4916">
            <v>32939</v>
          </cell>
        </row>
        <row r="4917">
          <cell r="P4917">
            <v>0</v>
          </cell>
          <cell r="S4917" t="str">
            <v xml:space="preserve">32939 </v>
          </cell>
          <cell r="AA4917">
            <v>32939</v>
          </cell>
        </row>
        <row r="4918">
          <cell r="P4918">
            <v>0</v>
          </cell>
          <cell r="S4918" t="str">
            <v xml:space="preserve">32939 </v>
          </cell>
          <cell r="AA4918">
            <v>32939</v>
          </cell>
        </row>
        <row r="4919">
          <cell r="P4919">
            <v>0</v>
          </cell>
          <cell r="S4919" t="str">
            <v xml:space="preserve">32939 </v>
          </cell>
          <cell r="AA4919">
            <v>32939</v>
          </cell>
        </row>
        <row r="4920">
          <cell r="P4920">
            <v>0</v>
          </cell>
          <cell r="S4920" t="str">
            <v xml:space="preserve">32939 </v>
          </cell>
          <cell r="AA4920">
            <v>32939</v>
          </cell>
        </row>
        <row r="4921">
          <cell r="P4921">
            <v>0</v>
          </cell>
          <cell r="S4921" t="str">
            <v xml:space="preserve">32939 </v>
          </cell>
          <cell r="AA4921">
            <v>32939</v>
          </cell>
        </row>
        <row r="4922">
          <cell r="P4922">
            <v>0</v>
          </cell>
          <cell r="S4922" t="str">
            <v xml:space="preserve">32939 </v>
          </cell>
          <cell r="AA4922">
            <v>32939</v>
          </cell>
        </row>
        <row r="4923">
          <cell r="P4923">
            <v>0</v>
          </cell>
          <cell r="S4923" t="str">
            <v xml:space="preserve">32939 </v>
          </cell>
          <cell r="AA4923">
            <v>32939</v>
          </cell>
        </row>
        <row r="4924">
          <cell r="P4924">
            <v>0</v>
          </cell>
          <cell r="S4924" t="str">
            <v xml:space="preserve">32939 </v>
          </cell>
          <cell r="AA4924">
            <v>32939</v>
          </cell>
        </row>
        <row r="4925">
          <cell r="P4925">
            <v>0</v>
          </cell>
          <cell r="S4925" t="str">
            <v xml:space="preserve">32939 </v>
          </cell>
          <cell r="AA4925">
            <v>32939</v>
          </cell>
        </row>
        <row r="4926">
          <cell r="P4926">
            <v>0</v>
          </cell>
          <cell r="S4926" t="str">
            <v xml:space="preserve">32939 </v>
          </cell>
          <cell r="AA4926">
            <v>32939</v>
          </cell>
        </row>
        <row r="4927">
          <cell r="P4927">
            <v>0</v>
          </cell>
          <cell r="S4927" t="str">
            <v xml:space="preserve">32939 </v>
          </cell>
          <cell r="AA4927">
            <v>32939</v>
          </cell>
        </row>
        <row r="4928">
          <cell r="P4928">
            <v>0</v>
          </cell>
          <cell r="S4928" t="str">
            <v xml:space="preserve">32939 </v>
          </cell>
          <cell r="AA4928">
            <v>32939</v>
          </cell>
        </row>
        <row r="4929">
          <cell r="P4929">
            <v>0</v>
          </cell>
          <cell r="S4929" t="str">
            <v xml:space="preserve">32939 </v>
          </cell>
          <cell r="AA4929">
            <v>32939</v>
          </cell>
        </row>
        <row r="4930">
          <cell r="P4930">
            <v>0</v>
          </cell>
          <cell r="S4930" t="str">
            <v xml:space="preserve">32939 </v>
          </cell>
          <cell r="AA4930">
            <v>32939</v>
          </cell>
        </row>
        <row r="4931">
          <cell r="P4931">
            <v>0</v>
          </cell>
          <cell r="S4931" t="str">
            <v xml:space="preserve">32939 </v>
          </cell>
          <cell r="AA4931">
            <v>32939</v>
          </cell>
        </row>
        <row r="4932">
          <cell r="P4932">
            <v>0</v>
          </cell>
          <cell r="S4932" t="str">
            <v xml:space="preserve">32939 </v>
          </cell>
          <cell r="AA4932">
            <v>32939</v>
          </cell>
        </row>
        <row r="4933">
          <cell r="P4933">
            <v>0</v>
          </cell>
          <cell r="S4933" t="str">
            <v xml:space="preserve">32939 </v>
          </cell>
          <cell r="AA4933">
            <v>32939</v>
          </cell>
        </row>
        <row r="4934">
          <cell r="P4934">
            <v>0</v>
          </cell>
          <cell r="S4934" t="str">
            <v xml:space="preserve">32939 </v>
          </cell>
          <cell r="AA4934">
            <v>32939</v>
          </cell>
        </row>
        <row r="4935">
          <cell r="P4935">
            <v>0</v>
          </cell>
          <cell r="S4935" t="str">
            <v xml:space="preserve">32939 </v>
          </cell>
          <cell r="AA4935">
            <v>32939</v>
          </cell>
        </row>
        <row r="4936">
          <cell r="P4936">
            <v>0</v>
          </cell>
          <cell r="S4936" t="str">
            <v xml:space="preserve">32939 </v>
          </cell>
          <cell r="AA4936">
            <v>32939</v>
          </cell>
        </row>
        <row r="4937">
          <cell r="P4937">
            <v>0</v>
          </cell>
          <cell r="S4937" t="str">
            <v xml:space="preserve">32939 </v>
          </cell>
          <cell r="AA4937">
            <v>32939</v>
          </cell>
        </row>
        <row r="4938">
          <cell r="P4938">
            <v>0</v>
          </cell>
          <cell r="S4938" t="str">
            <v xml:space="preserve">32939 </v>
          </cell>
          <cell r="AA4938">
            <v>32939</v>
          </cell>
        </row>
        <row r="4939">
          <cell r="P4939">
            <v>0</v>
          </cell>
          <cell r="S4939" t="str">
            <v xml:space="preserve">32939 </v>
          </cell>
          <cell r="AA4939">
            <v>32939</v>
          </cell>
        </row>
        <row r="4940">
          <cell r="P4940">
            <v>0</v>
          </cell>
          <cell r="S4940" t="str">
            <v xml:space="preserve">32939 </v>
          </cell>
          <cell r="AA4940">
            <v>32939</v>
          </cell>
        </row>
        <row r="4941">
          <cell r="P4941">
            <v>0</v>
          </cell>
          <cell r="S4941" t="str">
            <v xml:space="preserve">32939 </v>
          </cell>
          <cell r="AA4941">
            <v>32939</v>
          </cell>
        </row>
        <row r="4942">
          <cell r="P4942">
            <v>0</v>
          </cell>
          <cell r="S4942" t="str">
            <v xml:space="preserve">32939 </v>
          </cell>
          <cell r="AA4942">
            <v>32939</v>
          </cell>
        </row>
        <row r="4943">
          <cell r="P4943">
            <v>0</v>
          </cell>
          <cell r="S4943" t="str">
            <v xml:space="preserve">32939 </v>
          </cell>
          <cell r="AA4943">
            <v>32939</v>
          </cell>
        </row>
        <row r="4944">
          <cell r="P4944">
            <v>0</v>
          </cell>
          <cell r="S4944" t="str">
            <v xml:space="preserve">32939 </v>
          </cell>
          <cell r="AA4944">
            <v>32939</v>
          </cell>
        </row>
        <row r="4945">
          <cell r="P4945">
            <v>0</v>
          </cell>
          <cell r="S4945" t="str">
            <v xml:space="preserve">32939 </v>
          </cell>
          <cell r="AA4945">
            <v>32939</v>
          </cell>
        </row>
        <row r="4946">
          <cell r="P4946">
            <v>0</v>
          </cell>
          <cell r="S4946" t="str">
            <v xml:space="preserve">32939 </v>
          </cell>
          <cell r="AA4946">
            <v>32939</v>
          </cell>
        </row>
        <row r="4947">
          <cell r="P4947">
            <v>0</v>
          </cell>
          <cell r="S4947" t="str">
            <v xml:space="preserve">32939 </v>
          </cell>
          <cell r="AA4947">
            <v>32939</v>
          </cell>
        </row>
        <row r="4948">
          <cell r="P4948">
            <v>0</v>
          </cell>
          <cell r="S4948" t="str">
            <v xml:space="preserve">32939 </v>
          </cell>
          <cell r="AA4948">
            <v>32939</v>
          </cell>
        </row>
        <row r="4949">
          <cell r="P4949">
            <v>0</v>
          </cell>
          <cell r="S4949" t="str">
            <v xml:space="preserve">32939 </v>
          </cell>
          <cell r="AA4949">
            <v>32939</v>
          </cell>
        </row>
        <row r="4950">
          <cell r="P4950">
            <v>0</v>
          </cell>
          <cell r="S4950" t="str">
            <v xml:space="preserve">32939 </v>
          </cell>
          <cell r="AA4950">
            <v>32939</v>
          </cell>
        </row>
        <row r="4951">
          <cell r="P4951">
            <v>0</v>
          </cell>
          <cell r="S4951" t="str">
            <v xml:space="preserve">32939 </v>
          </cell>
          <cell r="AA4951">
            <v>32939</v>
          </cell>
        </row>
        <row r="4952">
          <cell r="P4952">
            <v>0</v>
          </cell>
          <cell r="S4952" t="str">
            <v xml:space="preserve">32939 </v>
          </cell>
          <cell r="AA4952">
            <v>32939</v>
          </cell>
        </row>
        <row r="4953">
          <cell r="P4953">
            <v>0</v>
          </cell>
          <cell r="S4953" t="str">
            <v xml:space="preserve">32939 </v>
          </cell>
          <cell r="AA4953">
            <v>32939</v>
          </cell>
        </row>
        <row r="4954">
          <cell r="P4954">
            <v>0</v>
          </cell>
          <cell r="S4954" t="str">
            <v xml:space="preserve">32939 </v>
          </cell>
          <cell r="AA4954">
            <v>32939</v>
          </cell>
        </row>
        <row r="4955">
          <cell r="P4955">
            <v>0</v>
          </cell>
          <cell r="S4955" t="str">
            <v xml:space="preserve">32939 </v>
          </cell>
          <cell r="AA4955">
            <v>32939</v>
          </cell>
        </row>
        <row r="4956">
          <cell r="P4956">
            <v>0</v>
          </cell>
          <cell r="S4956" t="str">
            <v xml:space="preserve">32939 </v>
          </cell>
          <cell r="AA4956">
            <v>32939</v>
          </cell>
        </row>
        <row r="4957">
          <cell r="P4957">
            <v>0</v>
          </cell>
          <cell r="S4957" t="str">
            <v xml:space="preserve">32939 </v>
          </cell>
          <cell r="AA4957">
            <v>32939</v>
          </cell>
        </row>
        <row r="4958">
          <cell r="P4958">
            <v>0</v>
          </cell>
          <cell r="S4958" t="str">
            <v xml:space="preserve">32939 </v>
          </cell>
          <cell r="AA4958">
            <v>32939</v>
          </cell>
        </row>
        <row r="4959">
          <cell r="P4959">
            <v>0</v>
          </cell>
          <cell r="S4959" t="str">
            <v xml:space="preserve">32939 </v>
          </cell>
          <cell r="AA4959">
            <v>32939</v>
          </cell>
        </row>
        <row r="4960">
          <cell r="P4960">
            <v>0</v>
          </cell>
          <cell r="S4960" t="str">
            <v xml:space="preserve">32939 </v>
          </cell>
          <cell r="AA4960">
            <v>32939</v>
          </cell>
        </row>
        <row r="4961">
          <cell r="P4961">
            <v>0</v>
          </cell>
          <cell r="S4961" t="str">
            <v xml:space="preserve">32939 </v>
          </cell>
          <cell r="AA4961">
            <v>32939</v>
          </cell>
        </row>
        <row r="4962">
          <cell r="P4962">
            <v>0</v>
          </cell>
          <cell r="S4962" t="str">
            <v xml:space="preserve">32939 </v>
          </cell>
          <cell r="AA4962">
            <v>32939</v>
          </cell>
        </row>
        <row r="4963">
          <cell r="P4963">
            <v>0</v>
          </cell>
          <cell r="S4963" t="str">
            <v xml:space="preserve">32939 </v>
          </cell>
          <cell r="AA4963">
            <v>32939</v>
          </cell>
        </row>
        <row r="4964">
          <cell r="P4964">
            <v>0</v>
          </cell>
          <cell r="S4964" t="str">
            <v xml:space="preserve">32939 </v>
          </cell>
          <cell r="AA4964">
            <v>32939</v>
          </cell>
        </row>
        <row r="4965">
          <cell r="P4965">
            <v>0</v>
          </cell>
          <cell r="S4965" t="str">
            <v xml:space="preserve">32939 </v>
          </cell>
          <cell r="AA4965">
            <v>32939</v>
          </cell>
        </row>
        <row r="4966">
          <cell r="P4966">
            <v>0</v>
          </cell>
          <cell r="S4966" t="str">
            <v xml:space="preserve">32939 </v>
          </cell>
          <cell r="AA4966">
            <v>32939</v>
          </cell>
        </row>
        <row r="4967">
          <cell r="P4967">
            <v>0</v>
          </cell>
          <cell r="S4967" t="str">
            <v xml:space="preserve">32939 </v>
          </cell>
          <cell r="AA4967">
            <v>32939</v>
          </cell>
        </row>
        <row r="4968">
          <cell r="P4968">
            <v>0</v>
          </cell>
          <cell r="S4968" t="str">
            <v xml:space="preserve">32939 </v>
          </cell>
          <cell r="AA4968">
            <v>32939</v>
          </cell>
        </row>
        <row r="4969">
          <cell r="P4969">
            <v>0</v>
          </cell>
          <cell r="S4969" t="str">
            <v xml:space="preserve">32939 </v>
          </cell>
          <cell r="AA4969">
            <v>32939</v>
          </cell>
        </row>
        <row r="4970">
          <cell r="P4970">
            <v>0</v>
          </cell>
          <cell r="S4970" t="str">
            <v xml:space="preserve">32939 </v>
          </cell>
          <cell r="AA4970">
            <v>32939</v>
          </cell>
        </row>
        <row r="4971">
          <cell r="P4971">
            <v>0</v>
          </cell>
          <cell r="S4971" t="str">
            <v xml:space="preserve">32939 </v>
          </cell>
          <cell r="AA4971">
            <v>32939</v>
          </cell>
        </row>
        <row r="4972">
          <cell r="P4972">
            <v>0</v>
          </cell>
          <cell r="S4972" t="str">
            <v xml:space="preserve">32939 </v>
          </cell>
          <cell r="AA4972">
            <v>32939</v>
          </cell>
        </row>
        <row r="4973">
          <cell r="P4973">
            <v>0</v>
          </cell>
          <cell r="S4973" t="str">
            <v xml:space="preserve">32939 </v>
          </cell>
          <cell r="AA4973">
            <v>32939</v>
          </cell>
        </row>
        <row r="4974">
          <cell r="P4974">
            <v>0</v>
          </cell>
          <cell r="S4974" t="str">
            <v xml:space="preserve">32939 </v>
          </cell>
          <cell r="AA4974">
            <v>32939</v>
          </cell>
        </row>
        <row r="4975">
          <cell r="P4975">
            <v>0</v>
          </cell>
          <cell r="S4975" t="str">
            <v xml:space="preserve">32939 </v>
          </cell>
          <cell r="AA4975">
            <v>32939</v>
          </cell>
        </row>
        <row r="4976">
          <cell r="P4976">
            <v>0</v>
          </cell>
          <cell r="S4976" t="str">
            <v xml:space="preserve">32939 </v>
          </cell>
          <cell r="AA4976">
            <v>32939</v>
          </cell>
        </row>
        <row r="4977">
          <cell r="P4977">
            <v>0</v>
          </cell>
          <cell r="S4977" t="str">
            <v xml:space="preserve">32939 </v>
          </cell>
          <cell r="AA4977">
            <v>32939</v>
          </cell>
        </row>
        <row r="4978">
          <cell r="P4978">
            <v>0</v>
          </cell>
          <cell r="S4978" t="str">
            <v xml:space="preserve">32939 </v>
          </cell>
          <cell r="AA4978">
            <v>32939</v>
          </cell>
        </row>
        <row r="4979">
          <cell r="P4979">
            <v>0</v>
          </cell>
          <cell r="S4979" t="str">
            <v xml:space="preserve">32939 </v>
          </cell>
          <cell r="AA4979">
            <v>32939</v>
          </cell>
        </row>
        <row r="4980">
          <cell r="P4980">
            <v>0</v>
          </cell>
          <cell r="S4980" t="str">
            <v xml:space="preserve">32939 </v>
          </cell>
          <cell r="AA4980">
            <v>32939</v>
          </cell>
        </row>
        <row r="4981">
          <cell r="P4981">
            <v>0</v>
          </cell>
          <cell r="S4981" t="str">
            <v xml:space="preserve">32939 </v>
          </cell>
          <cell r="AA4981">
            <v>32939</v>
          </cell>
        </row>
        <row r="4982">
          <cell r="P4982">
            <v>0</v>
          </cell>
          <cell r="S4982" t="str">
            <v xml:space="preserve">32939 </v>
          </cell>
          <cell r="AA4982">
            <v>32939</v>
          </cell>
        </row>
        <row r="4983">
          <cell r="P4983">
            <v>0</v>
          </cell>
          <cell r="S4983" t="str">
            <v xml:space="preserve">32939 </v>
          </cell>
          <cell r="AA4983">
            <v>32939</v>
          </cell>
        </row>
        <row r="4984">
          <cell r="P4984">
            <v>0</v>
          </cell>
          <cell r="S4984" t="str">
            <v xml:space="preserve">32939 </v>
          </cell>
          <cell r="AA4984">
            <v>32939</v>
          </cell>
        </row>
        <row r="4985">
          <cell r="P4985">
            <v>0</v>
          </cell>
          <cell r="S4985" t="str">
            <v xml:space="preserve">32939 </v>
          </cell>
          <cell r="AA4985">
            <v>32939</v>
          </cell>
        </row>
        <row r="4986">
          <cell r="P4986">
            <v>0</v>
          </cell>
          <cell r="S4986" t="str">
            <v xml:space="preserve">32939 </v>
          </cell>
          <cell r="AA4986">
            <v>32939</v>
          </cell>
        </row>
        <row r="4987">
          <cell r="P4987">
            <v>0</v>
          </cell>
          <cell r="S4987" t="str">
            <v xml:space="preserve">32939 </v>
          </cell>
          <cell r="AA4987">
            <v>32939</v>
          </cell>
        </row>
        <row r="4988">
          <cell r="P4988">
            <v>0</v>
          </cell>
          <cell r="S4988" t="str">
            <v xml:space="preserve">32939 </v>
          </cell>
          <cell r="AA4988">
            <v>32939</v>
          </cell>
        </row>
        <row r="4989">
          <cell r="P4989">
            <v>0</v>
          </cell>
          <cell r="S4989" t="str">
            <v xml:space="preserve">32939 </v>
          </cell>
          <cell r="AA4989">
            <v>32939</v>
          </cell>
        </row>
        <row r="4990">
          <cell r="P4990">
            <v>0</v>
          </cell>
          <cell r="S4990" t="str">
            <v xml:space="preserve">32939 </v>
          </cell>
          <cell r="AA4990">
            <v>32939</v>
          </cell>
        </row>
        <row r="4991">
          <cell r="P4991">
            <v>0</v>
          </cell>
          <cell r="S4991" t="str">
            <v xml:space="preserve">32939 </v>
          </cell>
          <cell r="AA4991">
            <v>32939</v>
          </cell>
        </row>
        <row r="4992">
          <cell r="P4992">
            <v>0</v>
          </cell>
          <cell r="S4992" t="str">
            <v xml:space="preserve">32939 </v>
          </cell>
          <cell r="AA4992">
            <v>32939</v>
          </cell>
        </row>
        <row r="4993">
          <cell r="P4993">
            <v>0</v>
          </cell>
          <cell r="S4993" t="str">
            <v xml:space="preserve">32939 </v>
          </cell>
          <cell r="AA4993">
            <v>32939</v>
          </cell>
        </row>
        <row r="4994">
          <cell r="P4994">
            <v>0</v>
          </cell>
          <cell r="S4994" t="str">
            <v xml:space="preserve">32939 </v>
          </cell>
          <cell r="AA4994">
            <v>32939</v>
          </cell>
        </row>
        <row r="4995">
          <cell r="P4995">
            <v>0</v>
          </cell>
          <cell r="S4995" t="str">
            <v xml:space="preserve">32939 </v>
          </cell>
          <cell r="AA4995">
            <v>32939</v>
          </cell>
        </row>
        <row r="4996">
          <cell r="P4996">
            <v>0</v>
          </cell>
          <cell r="S4996" t="str">
            <v xml:space="preserve">32939 </v>
          </cell>
          <cell r="AA4996">
            <v>32939</v>
          </cell>
        </row>
        <row r="4997">
          <cell r="P4997">
            <v>0</v>
          </cell>
          <cell r="S4997" t="str">
            <v xml:space="preserve">32939 </v>
          </cell>
          <cell r="AA4997">
            <v>32939</v>
          </cell>
        </row>
      </sheetData>
      <sheetData sheetId="4">
        <row r="2">
          <cell r="A2" t="str">
            <v xml:space="preserve">IL18 </v>
          </cell>
          <cell r="B2" t="str">
            <v>ICB</v>
          </cell>
          <cell r="C2" t="str">
            <v>1,2,5,7,8</v>
          </cell>
          <cell r="D2" t="str">
            <v>0.2; 1.2</v>
          </cell>
          <cell r="E2" t="str">
            <v>No link to RR</v>
          </cell>
          <cell r="F2" t="str">
            <v>Doncaster Royal Infirmary (DRI) - Backlog Maintenance - Recent incidents at DRI including a fire at the maternity wing, evacuation of South Block and failure of lifts have demonstrated significant risks within the estate of DRI.  The issue has the potential to cause harm to patients, staff and visitors</v>
          </cell>
          <cell r="G2">
            <v>5</v>
          </cell>
          <cell r="H2">
            <v>5</v>
          </cell>
          <cell r="I2">
            <v>25</v>
          </cell>
          <cell r="J2" t="str">
            <v>Responsible</v>
          </cell>
          <cell r="K2" t="str">
            <v xml:space="preserve">1)ICB and DRI EPRR staff continue to work together on evacuation planning and exercising, with internal exercises/workshops to be held at both organisations in early autumn
2)Two multi-agency Exercises (Exercise Blue Hammer and Blue Phantom) taking place on the 4th &amp; 9th September 2025.
3)DBHFT has provided details of ongoing mitigation and structural works at the DRI site and the ICB will check progress with the Trust on these every six months throughout 2025/6 </v>
          </cell>
          <cell r="L2" t="str">
            <v>Sarah Perkins
Director of Transformation and Delivery</v>
          </cell>
          <cell r="M2" t="str">
            <v>LHRP Risk Register</v>
          </cell>
          <cell r="N2" t="str">
            <v>06/11/2023
01/02/2024
15/02/2024
13/05/2024
17/06/2024
25/06/2024
10/07/2024
22/07/2024
29/07/2024
19/08/2024
02/09/2024
23/09/2024
30/09/2024
21/10/2024
28/10/2024
22/11/2024
02/12/2024
09/12/2024
23/12/2024
27/12/2024
06/01/2025
14/01/2025
27/01/2025
03/02/2025
10/02/2025
17/02/2025
19/02/2025
17/03/2025
26/03/2025
07/04/2025
14/04/2025
24/04/2025
28/04/2025
06/05/2025
19/05/2025
02/06/2025
09/06/2025
20/06/2025
30/06/2025
07/07/2025
28/07/2025
18/08/2025
30/08/2025
08/09/2025
29/09/2025
20/10/2025
30/10/2025
24/11/2025
01/12/2025
15/12/2025
22/12/2025
29/12/2025
05/01/2026
19/01/2026
26/01/2026
02/02/2026
09/02/2026
16/02/2026
23/02/2026
16/03/2026
23/03/2026
30/03/2026</v>
          </cell>
          <cell r="O2">
            <v>46118</v>
          </cell>
          <cell r="P2" t="str">
            <v>Not overdue</v>
          </cell>
          <cell r="Q2" t="str">
            <v>Ailsa Leighton / Helena Charlton</v>
          </cell>
          <cell r="R2" t="str">
            <v>August 2025 – Relocation/refurbishment of Surgical Same Day Emergency Care (SSDEC) services is now complete; this will then enable the relocation of Critical Care (currently in a high risk area from an estates maintenance perspective) to a different part of the hospital in 2026 and ground works for the critical care unit have commenced .  This will both reduce the clinical impacts of an evacuation at DRI and also enable further works to take place in the higher-risk buildings as the highest-risk patients will be cared for elsewhere.
The Trust continues to use, and further bid for, capital funding to upgrade estates in line with fire standards, including updated building regulations issued this year.  These works are proceeding as quickly as budgetary and structural limitations will allow, and in line with the evacuation plans to ensure these are refreshed as estates arrangements change.  Although the residual score remains at 5x5 due to the impact on the health system from an evacuation, the direct risk to patients of clinical harm will be reduced through well-understood evacuation plans.
An EPRR update was presented at the ICB Audit and Risk Committee in May 2025, which included the latest update of ongoing mitigation and structural works at the DRI site, A copy of the report is available within the 'link to assurance report section'
February 2026 - Testing of the plan took place in September 2025 - lessons identified are currently being reviewed and were shared by DBTH at the January LHRP meeting with the report to be shared in April.
March 2026 - Learning from the recent hospital evacuation in Southampton is being sought to further support lessons identified.</v>
          </cell>
          <cell r="S2" t="str">
            <v>Weekly</v>
          </cell>
          <cell r="T2" t="str">
            <v>Local Health Resilience Partnership</v>
          </cell>
          <cell r="U2" t="str">
            <v>Audit and Risk Committee</v>
          </cell>
          <cell r="V2">
            <v>45236</v>
          </cell>
          <cell r="W2">
            <v>629</v>
          </cell>
          <cell r="X2" t="str">
            <v>April 2025 - EPRR staff from DBHFT, ICB, NHS England and the LRF are currently meeting every couple of weeks to plan for the September exercises and monitor the ongoing estates risks and evacuation planning progress.  Any issues will be raised with the respective AEOs and the Local Health Resilience Partnership if required, and updates provided to executive committees as needed.</v>
          </cell>
          <cell r="Y2" t="str">
            <v>EPRR - DRI Estates Update</v>
          </cell>
        </row>
        <row r="3">
          <cell r="A3" t="str">
            <v>IL12</v>
          </cell>
          <cell r="B3" t="str">
            <v>ICB</v>
          </cell>
          <cell r="C3" t="str">
            <v>1,2,5,6</v>
          </cell>
          <cell r="D3" t="str">
            <v>2.6; 2.15; 2.16</v>
          </cell>
          <cell r="E3" t="str">
            <v xml:space="preserve">SY028 </v>
          </cell>
          <cell r="F3" t="str">
            <v>Cancer – Due to a shortfall in the  consultant oncology workforce, there is an extension to the wait time for patients requiring non-surgical oncology resulting in possible harm to patients</v>
          </cell>
          <cell r="G3">
            <v>5</v>
          </cell>
          <cell r="H3">
            <v>4</v>
          </cell>
          <cell r="I3">
            <v>20</v>
          </cell>
          <cell r="J3" t="str">
            <v>Accountable</v>
          </cell>
          <cell r="K3" t="str">
            <v xml:space="preserve">1)Breast waiting times are being monitored through the Regional Incident management team meetings.  
2)Mutual aid has been fully explored through regional team. However, capacity issues are reflected regionally and nationally. Some capacity has been established through insourcing.  </v>
          </cell>
          <cell r="L3" t="str">
            <v>Emma Latimer  
Sheffield Place Director</v>
          </cell>
          <cell r="M3" t="str">
            <v xml:space="preserve">CCG Due Diligence Assurance Letters </v>
          </cell>
          <cell r="N3" t="str">
            <v>05/12/2022
02/03/2023
22/03/2023
28/03/2023                                                                     19/04/2023                        19/06/2023                  03/07/2023                  01/08/2023              05/09/2023
05/12/2023
29/04/2024
02/07/2024
22/07/2024
20/08/2024
01/10/2024
25/11/2024
30/12/2024
04/02/2025
24/03/2025
25/03/2025
12/05/2025
17/06/2025
28/07/2025
02/09/2025
08/10/2025
10/11/2025
22/12/2025
26/01/2026
02/03/2026</v>
          </cell>
          <cell r="O3">
            <v>46114</v>
          </cell>
          <cell r="P3" t="str">
            <v>Not overdue</v>
          </cell>
          <cell r="Q3" t="str">
            <v xml:space="preserve">Julia Jessop
</v>
          </cell>
          <cell r="R3" t="str">
            <v>10.11.2025 Additional oncologists have been recruited and are scheduled to start in Q3/4. Waiting times continue to be monitored with an update to QPPIE scheduled 02.12.2025
16.12.2025 Latest position shared with QPIE 02.12.2025. Continue to monitor through Cancer Alliance Board with escalation to QPIE if position deteriorates 
26.01.2025 Continue to monitor and link with quality team 
02.03.2026 Regular reporting of NSO waiting times being established post EPR implementation and continue to link with quality team</v>
          </cell>
          <cell r="S3" t="str">
            <v xml:space="preserve">Addressing immediate high risk estates issues </v>
          </cell>
          <cell r="T3" t="str">
            <v>Cancer Alliance</v>
          </cell>
          <cell r="U3" t="str">
            <v>Quality Performance Patient Involvement Experience (QPPIE)</v>
          </cell>
          <cell r="V3">
            <v>44900</v>
          </cell>
          <cell r="W3">
            <v>869</v>
          </cell>
          <cell r="X3" t="str">
            <v>Liable to be impacted by next period of industrial action.
Cancer Board scheduled for 1/3/24, update to be provided following this meeting.</v>
          </cell>
        </row>
        <row r="4">
          <cell r="A4" t="str">
            <v>IL13</v>
          </cell>
          <cell r="B4" t="str">
            <v>ICB</v>
          </cell>
          <cell r="C4" t="str">
            <v>1,2,5,6</v>
          </cell>
          <cell r="D4">
            <v>2.13</v>
          </cell>
          <cell r="E4" t="str">
            <v>SY063</v>
          </cell>
          <cell r="F4" t="str">
            <v>65 Week Waits - Not all providers have eliminated patient 65 week waits, posing a risk to patients and risk to ICB reputational damage not meeting national targets.</v>
          </cell>
          <cell r="G4">
            <v>4</v>
          </cell>
          <cell r="H4">
            <v>3</v>
          </cell>
          <cell r="I4">
            <v>12</v>
          </cell>
          <cell r="J4" t="str">
            <v>Accountable</v>
          </cell>
          <cell r="K4" t="str">
            <v>Elective recovery plans in place; three SYB Trusts currently overseen at national/regional level via the Tiering process to support individual trust and place actions to recover their elective lists.</v>
          </cell>
          <cell r="L4" t="str">
            <v xml:space="preserve">Sarah Perkins
</v>
          </cell>
          <cell r="M4" t="str">
            <v>Sarah Bayliss</v>
          </cell>
          <cell r="N4" t="str">
            <v>02/05/2023                                             01/08/2023                            18/08/2023                11/09/2023     02/10/2023                11/10/2023     10/11/2023                     01/12/2023
15/12/2023
05/02/2023
13/05/2024
18/06/2024
22/07/2024
05/09/2024
07/10/2024
11/11/2024
16/12/2024
20/12/2024
23/01/2025
06/03/2025
07/04/2025
19/05/2025
30/06/2025
04/08/2025
08/09/2025
22/09/2025
20/10/2025
25/11/2025
08/12/2025
26/01/2026</v>
          </cell>
          <cell r="O4">
            <v>46138</v>
          </cell>
          <cell r="P4" t="str">
            <v>Not overdue</v>
          </cell>
          <cell r="Q4" t="str">
            <v xml:space="preserve">Cathy Hassell  / Sarah Bayliss
  </v>
          </cell>
          <cell r="R4" t="str">
            <v>November 2025 -  Information is in the integrated performance report.   Two out of five providers have fewer than 10 patients waiting longer than 65 weeks.  The three remaining trusts have mitigation plans in place. Waiting list clearance initiatives are taking place in high volume specialties with the intention of eliminating 65wws.  There has been significant progress on the target to eliminate 65ww+ waits; however, industrial action, sustained high UEC demand, workforce shortages in some specialities, and the need to achieve financial balance, continue to make elective recovery challenging. Efforts continue to balance the allocation of resources to patients of the highest clinical priority/urgency alongside those waiting the longest.     
To improve waiting times sustainably, SYB providers continue to implement OP and theatre improvement plans to maximise productivity and efficiency, supported by SYB collaborative working, GIRFT and NHSE Quality Improvement.  Use of insourcing and outsourcing continues to be utilised when finances allow.
NHSE had requested that all organisations eliminate 65 weeks by the end of Dec. 2025
Tier 1 meeting with DBTH has oversight of delivery plan 
January 2026 - SY have approx 120 patients waiting over 65 weeks - plans in place to eliminate by February 2026</v>
          </cell>
          <cell r="S4" t="str">
            <v xml:space="preserve">Underpinning clear governance and timescales for delivery </v>
          </cell>
          <cell r="T4" t="str">
            <v>Place Committees</v>
          </cell>
          <cell r="U4" t="str">
            <v>Quality Performance Patient Involvement Experience (QPPIE)</v>
          </cell>
          <cell r="V4">
            <v>45048</v>
          </cell>
          <cell r="W4">
            <v>763</v>
          </cell>
          <cell r="X4" t="str">
            <v>March 2025 - 52 weeks is not a national target, reference to this removed by Cathy Hassell</v>
          </cell>
        </row>
        <row r="5">
          <cell r="A5" t="str">
            <v>IL07 - B</v>
          </cell>
          <cell r="B5" t="str">
            <v>All places</v>
          </cell>
          <cell r="C5" t="str">
            <v>1,5,6</v>
          </cell>
          <cell r="D5" t="str">
            <v>0.1.2; 2.13</v>
          </cell>
          <cell r="E5" t="str">
            <v xml:space="preserve">Sy115, SY132, SY113, SY066
</v>
          </cell>
          <cell r="F5" t="str">
            <v>Urgent and Emergency Care (including 111/999)- there continues to be significant pressure faced by Urgent and Emergency Care Services as a result of increased activity including the Yorkshire Ambulance Service.  This could result in patient harm, reputational damage for the ICB.</v>
          </cell>
          <cell r="G5">
            <v>5</v>
          </cell>
          <cell r="H5">
            <v>3</v>
          </cell>
          <cell r="I5">
            <v>15</v>
          </cell>
          <cell r="J5" t="str">
            <v>Consulted</v>
          </cell>
          <cell r="K5" t="str">
            <v>Note UEC Contract with YAS led by West Yorkshire ICB.
1)South Yorkshire ICB executive represented on the Yorkshire &amp; Humber  Executive Leadership Board, Memorandum of Understanding in place between 3 ICBs (WY, HNY and SY)and Yorkshire Ambulance Service (YAS)
2)Good engagement and representation from YAS at Place UEC Boards and South Yorkshire Urgent Emergency Care (SY UEC) Alliance Board .
3)System Co-Ordination Centre (SCC), manages the live risk and responds to pressure across the system. National SCC and Operational Pressures Escalation Levels (OPEL) reporting is in place.                                                   
4) The governance arrangements are via the SY UEC Alliance Board with delivery through each of our 4 Place UEC Boards.                                                                                                     
5)UEC Improvement plans at place levels are in place and progress/impact managed by UEC Boards and reported to the SY UEC Alliance.</v>
          </cell>
          <cell r="L5" t="str">
            <v>Katy Calvin-Thomas
Barnsley Place Director</v>
          </cell>
          <cell r="M5" t="str">
            <v>SY ICB RR SY048</v>
          </cell>
          <cell r="N5" t="str">
            <v>14/10/2024
22/10/2024
04/11/2024
11/11/2024
16/12/2024
27/01/2025
03/03/2025
07/04/2025
19/05/2025
23/06/2025
14/08/2025
18/09/2025
24/10/2025
12/12/2025
12/01/2026
16/02/2026
27/03/2026</v>
          </cell>
          <cell r="O5">
            <v>46139</v>
          </cell>
          <cell r="P5" t="str">
            <v>Not overdue</v>
          </cell>
          <cell r="Q5" t="str">
            <v xml:space="preserve">Jamie Wike
</v>
          </cell>
          <cell r="R5" t="str">
            <v>Jan 2026 - Work with NHSE as part of NOF Tier 2 oversight has had a positive impact on internal hospital process on flow and discharge leading to improved performance on time of discharge (before 5pm) and numbers discharged on their DRD.  Demand Management schemes also continue to be delivered across the place partnership which is containing some growth - these are managed via the Barnsley UEC Delivery Board.</v>
          </cell>
          <cell r="S5" t="str">
            <v>Monthly</v>
          </cell>
          <cell r="T5" t="str">
            <v>All Place Committees</v>
          </cell>
          <cell r="U5" t="str">
            <v>Quality Performance Patient Involvement Experience (QPPIE)</v>
          </cell>
          <cell r="V5">
            <v>44900</v>
          </cell>
          <cell r="W5">
            <v>869</v>
          </cell>
          <cell r="X5" t="str">
            <v xml:space="preserve">Barnsley: continues to see fluctuations in performance. We await the Winter planning letter from NHSE, However we expect this to be in keeping with the NHSE 2 year recover plan for UEC.
</v>
          </cell>
          <cell r="Y5" t="str">
            <v>QPIE - UEC Report June 2025 (Enc 14)</v>
          </cell>
        </row>
        <row r="6">
          <cell r="A6" t="str">
            <v>IL07 - D</v>
          </cell>
          <cell r="B6" t="str">
            <v>All places</v>
          </cell>
          <cell r="C6" t="str">
            <v>1,5,6</v>
          </cell>
          <cell r="D6" t="str">
            <v>0.1.2; 2.13</v>
          </cell>
          <cell r="E6" t="str">
            <v xml:space="preserve">Sy115, SY132, SY113, SY066
</v>
          </cell>
          <cell r="F6" t="str">
            <v xml:space="preserve">Urgent and Emergency Care (including 111/999)- there continues to be significant pressure faced by Urgent and Emergency Care Services including the Yorkshire Ambulance Service.  Which could result in patient harm, reputational damage for the ICB.  </v>
          </cell>
          <cell r="G6">
            <v>5</v>
          </cell>
          <cell r="H6">
            <v>3</v>
          </cell>
          <cell r="I6">
            <v>15</v>
          </cell>
          <cell r="J6" t="str">
            <v>Consulted</v>
          </cell>
          <cell r="K6" t="str">
            <v>Note UEC Contract with YAS led by West Yorkshire ICB.
1)South Yorkshire ICB executive represented on the Yorkshire &amp; Humber  Executive Leadership Board, Memorandum of Understanding in place between 3 ICBs (WY, HNY and SY)and Yorkshire Ambulance Service (YAS)
2)Good engagement and representation from YAS at Place UEC Boards and South Yorkshire Urgent Emergency Care (SY UEC) Alliance Board .
3)System Co-Ordination Centre (SCC), manages the live risk and responds to pressure across the system. New National Draft SCC and Operational Pressures Escalation Levels (OPEL) reporting guidance being consulted on and expected to be final in Autumn.                                                     
4) The governance arrangements are via the SY UEC Alliance Board with delivery through each of our 4 Place UEC Boards.                                                                                                     
UEC Improvement plans at place levels are in place and progress/impact managed by UEC Boards and reported to the SY UEC Alliance.</v>
          </cell>
          <cell r="L6" t="str">
            <v>Anthony Fitzgerald
Doncaster Place Director</v>
          </cell>
          <cell r="M6" t="str">
            <v>SY ICB RR SY048</v>
          </cell>
          <cell r="N6" t="str">
            <v>30/09/2024
24/11/2024
27/12/2024
19/02/2025
17/03/2025
28/04/2025
20/06/2025
04/08/2025
29/09/2025
15/11/2025
22/12/2025
26/01/2026
26/02/2026
01/04/2026</v>
          </cell>
          <cell r="O6">
            <v>46143</v>
          </cell>
          <cell r="P6" t="str">
            <v>Not overdue</v>
          </cell>
          <cell r="Q6" t="str">
            <v xml:space="preserve">Ailsa Leighton  </v>
          </cell>
          <cell r="R6" t="str">
            <v xml:space="preserve">December 25 - winter plans finalised and now in delivery; front door flip commenced early December but paused following CQC visit to enable modifications to respond to CQC initial feedback- expected to recommence early January.  Additional ARI capacity secured in the community for this winter.  Current focus on reducing bed occupancy prior to Christmas.  Resident Dr Industrial Action was well managed by DBHFT
January 26- Front Door Flip still paused whilst actions put in place by DBHFT and FCMS; both organisations working to deliver actions as quickly and effectively as possible.  DBHFT bed occupancy reduced as required prior to Christmas.  Winter plans still ongoing, with evaluation discuss to take place at February Urgent Care Board, to ensure that learning can be captured 
February 26- Front door flip remains paused but actions are underway to address the issues raised.  Winter plans remain in delivery with commitment given at February UEC Board to ensure that learning is captured at the end of the winter period.  Winter pressures continue but rates of flu and covid have dropped more recently. 
March 2026 - Front Door Flip remains paused but actions are underway that address the issues and will result in reinstatement over time.  Winter schemes have continued until end of March, with A&amp;E performance recovering during this period.  </v>
          </cell>
          <cell r="S6" t="str">
            <v>Monthly</v>
          </cell>
          <cell r="T6" t="str">
            <v>All Place Committees</v>
          </cell>
          <cell r="U6" t="str">
            <v>Quality Performance Patient Involvement Experience (QPPIE)</v>
          </cell>
          <cell r="V6">
            <v>44900</v>
          </cell>
          <cell r="W6">
            <v>869</v>
          </cell>
          <cell r="X6" t="str">
            <v>Performance metrics have been more challenging to date, reflecting the increase in ED presentations.  Work is underway to further quantify the impact of plans for 24/25 and the local UEC Board is focussed on delivery of those plans.
Performance metrics have been more challenging to date, reflecting the increase in ED presentations.  Work has been completed which quantifies the impact of plans for 24/25 and the local UEC Board is focussed on delivery of those plans.</v>
          </cell>
          <cell r="Y6" t="str">
            <v>QPIE - UEC Report June 2025 (Enc 14)</v>
          </cell>
        </row>
        <row r="7">
          <cell r="A7" t="str">
            <v>IL07 - R</v>
          </cell>
          <cell r="B7" t="str">
            <v>All places</v>
          </cell>
          <cell r="C7" t="str">
            <v>1,5,6</v>
          </cell>
          <cell r="D7" t="str">
            <v>0.1.2; 2.13</v>
          </cell>
          <cell r="E7" t="str">
            <v xml:space="preserve">Sy115, SY132, SY113, SY066
</v>
          </cell>
          <cell r="F7" t="str">
            <v xml:space="preserve">Urgent and Emergency Care (including 111/999)- there continues to be significant pressure faced by Urgent and Emergency Care Services including the Yorkshire Ambulance Service.  Which could result in patient harm, reputational damage for the ICB.  </v>
          </cell>
          <cell r="G7">
            <v>5</v>
          </cell>
          <cell r="H7">
            <v>3</v>
          </cell>
          <cell r="I7">
            <v>15</v>
          </cell>
          <cell r="J7" t="str">
            <v>Consulted</v>
          </cell>
          <cell r="K7" t="str">
            <v>Contract led by West Yorkshire ICB.
1)South Yorkshire ICB executive represented on the Yorkshire &amp; Humber  Executive Leadership Board
2)Memorandum of Understanding in place between 3 ICBs (WY, HNY and SY) and Yorkshire Ambulance Service (YAS)
3)Good engagement and representation from YAS at place and South Yorkshire Urgent Emergency Care (SY UEC) Alliance Board .
4)System Co-Ordination Centre (SCC), manages the live risk and responds to pressure across the system. 
5)New National Draft SCC and Operational Pressures Escalation Levels (OPEL) reporting guidance being consulted on and expected to be final in Autumn.                                                     
6)SY UEC providing governance arrangements with delivery through each of our 4 Place UEC delivery groups.                                                                                                     
7)Letter issued to Place Delivery Board from UEC Senior Responsible Officer (SRO) and Exec lead to request recovery plan to recover current operational attainment
8)25 26 waterfall trajectory now submitted above trajectory in July 25 - over 70% month to date (August 2025) position has deteriorated over winter and is slightly under 70% at mid Feb 26</v>
          </cell>
          <cell r="L7" t="str">
            <v xml:space="preserve">Sarah Perkins
</v>
          </cell>
          <cell r="M7" t="str">
            <v>SY ICB RR SY048</v>
          </cell>
          <cell r="N7" t="str">
            <v>07/10/2024
11/11/2024
16/12/2024
20/01/2025
30/01/2025
03/03/2025
08/04/2025
12/05/2025
16/06/2025
21/07/2025
26/08/2025
07/10/2025
11/11/2025
15/12/2025
19/01/2026
23/02/2026
30/03/2026</v>
          </cell>
          <cell r="O7">
            <v>46142</v>
          </cell>
          <cell r="P7" t="str">
            <v>Not overdue</v>
          </cell>
          <cell r="Q7" t="str">
            <v>Claire Smith</v>
          </cell>
          <cell r="R7" t="str">
            <v xml:space="preserve">July 2025  - progress made on 4 hr target and is on track to meet waterfall at the minute, winter plan is being developed for sign off in July. 4hr performance above waterfall trajectory, handover times remain positive, 45 minute protocol to be implemented on 12th August in Rotherham. SDEC reopened with extended hours, integration of primary care and minors and inability now to bed in SDEC which is leading to positive improvements. Virtual ward tech implemented and increases seen in utilisation of service from c55% to c80% in recent weeks. 
Oct 25 - data analysis on admission avoidance has shown opportunity in Rotherham and a request to discuss and agree a trajectory for improvement will be discussed at our UEC Board this month. 
November 2025 - this has been agreed in Place and fed back into UEC alliance. 
December work is ongoing - analysis of top presenting patients by GP practice shared and targeted work to commence, 
February 2026 - Work continues throughout February and March 2026. </v>
          </cell>
          <cell r="S7" t="str">
            <v xml:space="preserve">Seeing high risk / P1 patients in a timely manner </v>
          </cell>
          <cell r="T7" t="str">
            <v>All Place Committees</v>
          </cell>
          <cell r="U7" t="str">
            <v>Quality Performance Patient Involvement Experience (QPPIE)</v>
          </cell>
          <cell r="V7">
            <v>44900</v>
          </cell>
          <cell r="W7">
            <v>869</v>
          </cell>
          <cell r="X7" t="str">
            <v xml:space="preserve">April 2025-  Rotherham continue to be challenged in meeting the national 4hr UEC measure and NCTR.
Winter planning letter from NHSE received and our winter plan has been supported at the UEC board in draft in Sept 2024 and UEC alliance. Formal agreement October 2024 at UEC board. ARI hub commenced early due to pressures and all schemes are on track to commence or have commenced. Work is now ongoing regarding articulating the impact in admissions and bed days saved from our transformation programmes within UEC linked to the Deloitte's work. A push to reach 76% by the end of MARCH 2025 was implemented with some improvements seen in performance (but not consistent) with some non recurrent funding identified from Rotherham PLACE ICB and TRFT to support this.
May 2025 - waterfall submitted with trajectory to improve performance which includes action regarding SDEC development based on capital funding, UECC action plan with various actions to support improved flow and admission avoidance inc trail of community physician frailty model of proactive care, x-ray machine on ambulances in community, further integration of transfer of care hub, review of capacity and demand in intermediate care, data analysis of demand to support primary care investment
see above June update 
see above July update 
August 2025 - progress being made in all areas of UEC action plan which is showing positive signs in terms of performance with the trust. Demand still remains high in terms of attendances and further work is required. 
Oct 2025- winter plans now in place and each organisation has signed off their board assurance framework. 
November 2025 - ARI hub has been mobilised early to support increasing demand </v>
          </cell>
          <cell r="Y7" t="str">
            <v>QPIE - UEC Report June 2025 (Enc 14)</v>
          </cell>
        </row>
        <row r="8">
          <cell r="A8" t="str">
            <v>IL07 - S</v>
          </cell>
          <cell r="B8" t="str">
            <v>All places</v>
          </cell>
          <cell r="C8" t="str">
            <v>1,5,6</v>
          </cell>
          <cell r="D8" t="str">
            <v>0.1.2; 2.13</v>
          </cell>
          <cell r="E8" t="str">
            <v xml:space="preserve">Sy115, SY132, SY113, SY066
</v>
          </cell>
          <cell r="F8" t="str">
            <v xml:space="preserve">Urgent and Emergency Care (including 111/999)- there continues to be significant pressure faced by Urgent and Emergency Care Services including the Yorkshire Ambulance Service.  Which could result in patient harm, reputational damage for the ICB.  </v>
          </cell>
          <cell r="G8">
            <v>5</v>
          </cell>
          <cell r="H8">
            <v>3</v>
          </cell>
          <cell r="I8">
            <v>15</v>
          </cell>
          <cell r="J8" t="str">
            <v>Consulted</v>
          </cell>
          <cell r="K8" t="str">
            <v>Note UEC Contract with YAS led by West Yorkshire ICB.
1)South Yorkshire ICB executive represented on the Yorkshire &amp; Humber  Executive Leadership Board, Memorandum of Understanding in place between 3 ICBs (WY, HNY and SY)and Yorkshire Ambulance Service (YAS)
2)Good engagement and representation from YAS at Place UEC Boards and South Yorkshire Urgent Emergency Care (SY UEC) Alliance Board .
3)System Co-Ordination Centre (SCC), manages the live risk and responds to pressure across the system. New National Draft SCC and Operational Pressures Escalation Levels (OPEL) reporting guidance being consulted on and expected to be final in Autumn.                                                     
4) The governance arrangements are via the SY UEC Alliance Board with delivery through each of our 4 Place UEC Boards.                                                                                                     
UEC Improvement plans at place levels are in place and progress/impact managed by UEC Boards and reported to the SY UEC Alliance.</v>
          </cell>
          <cell r="L8" t="str">
            <v>Emma Latimer  
Sheffield Place Director</v>
          </cell>
          <cell r="M8" t="str">
            <v>SY ICB RR SY048</v>
          </cell>
          <cell r="N8" t="str">
            <v>14/10/2024
29/11/2024
06/01/2025
03/02/2025
24/03/2025
12/05/2025
23/06/2025
28/07/2025
02/09/2025
08/10/2025
10/11/2025
22/12/2025
27/01/2026
11/03/2026</v>
          </cell>
          <cell r="O8">
            <v>46123</v>
          </cell>
          <cell r="P8" t="str">
            <v>Not overdue</v>
          </cell>
          <cell r="Q8" t="str">
            <v>Ian Atkinson</v>
          </cell>
          <cell r="R8" t="str">
            <v>Please provide update</v>
          </cell>
          <cell r="S8" t="str">
            <v>Monthly</v>
          </cell>
          <cell r="T8" t="str">
            <v>All Place Committees</v>
          </cell>
          <cell r="U8" t="str">
            <v>Quality Performance Patient Involvement Experience (QPPIE)</v>
          </cell>
          <cell r="V8">
            <v>44900</v>
          </cell>
          <cell r="W8">
            <v>869</v>
          </cell>
          <cell r="X8" t="str">
            <v>Type 1 A+E Performance continues to be challenging.
Winter plan has been produced following the letter from NHSE, this is in keeping with the NHSE 2 year recover plan for UEC.</v>
          </cell>
          <cell r="Y8" t="str">
            <v>QPIE - UEC Report June 2025 (Enc 14)</v>
          </cell>
        </row>
        <row r="9">
          <cell r="A9" t="str">
            <v>IL17</v>
          </cell>
          <cell r="B9" t="str">
            <v>ICB</v>
          </cell>
          <cell r="C9" t="str">
            <v>5, 6, 8</v>
          </cell>
          <cell r="D9">
            <v>2.12</v>
          </cell>
          <cell r="E9" t="str">
            <v xml:space="preserve">SY127, </v>
          </cell>
          <cell r="F9" t="str">
            <v>Continuing Health Care (CHC) - Current risk across ICB is in relation to capacity to deliver statutory requirements identified within the CHC Framework. This is caused by recruitment and retention issues.  This results in a potential delay for patients and reduced quality of care.</v>
          </cell>
          <cell r="G9">
            <v>3</v>
          </cell>
          <cell r="H9">
            <v>4</v>
          </cell>
          <cell r="I9">
            <v>12</v>
          </cell>
          <cell r="J9" t="str">
            <v>Responsible</v>
          </cell>
          <cell r="K9" t="str">
            <v xml:space="preserve">
1)Operating Model across all 4 places is embedded
2)Ongoing process in place to consider any CHC capacity gaps and ensuring we have flexible use of resources/vacancies across the teams, throughout 2025/6
3)Workforce gaps continue to be monitored and mitigated where appropriate with agency staff although this is not mitigating all risk. 
4)Ongoing work in relation to organisational change and uncertainty is contributing to challenge. 
5) Consideration of appointment processes for Business Critical Posts to be considered by the Executives whilst waiting for organisational Change process to be clarified and undertaken.
6) External providers being commissioned through a Proof of Concept process to see if additional capacity can be secured with appropriate levels of Quality and Financial efficiencies.</v>
          </cell>
          <cell r="L9" t="str">
            <v>Cathy Winfield
Chief Nursing Officer</v>
          </cell>
          <cell r="M9" t="str">
            <v>South Yorkshire ICB Chief Nurse formal meeting;
SYICB Place Directors; 
Turnaround Meetings and 
DoN and Place Executive Team meeting</v>
          </cell>
          <cell r="N9" t="str">
            <v>29/08/2023
01/12/2023
01/02/2024
01/03/2024
29/04/2024
03/06/2024
22/07/2024
27/08/2024
30/09/2024
04/11/2024
09/12/2024
07/01/2025
24/01/2025
25/02/2025
05/03/2025
09/06/2025
08/09/2025
30/09/2025
02/01/2026  
30/03/2026</v>
          </cell>
          <cell r="O9">
            <v>46203</v>
          </cell>
          <cell r="P9" t="str">
            <v>Not overdue</v>
          </cell>
          <cell r="Q9" t="str">
            <v>Alun Windle 
Jayne Sivakumar</v>
          </cell>
          <cell r="R9" t="str">
            <v>January 2026 -
Commissioning of external capacity in process through Proof of Concept approach to ensure quality and Financial Efficiencies can be maintained. Additional commercial companies in discussion with the ICB.
Ongoing challenge in relation to the impact of organisational change on the team well being and productivity.</v>
          </cell>
          <cell r="S9" t="str">
            <v>Quarterly</v>
          </cell>
          <cell r="T9" t="str">
            <v>All Place Committees</v>
          </cell>
          <cell r="U9" t="str">
            <v>Quality Performance Patient Involvement Experience (QPPIE)</v>
          </cell>
          <cell r="V9">
            <v>45167</v>
          </cell>
          <cell r="W9">
            <v>678</v>
          </cell>
          <cell r="X9" t="str">
            <v>Score currently being reviewed as issue is greater in some areas over others</v>
          </cell>
        </row>
        <row r="10">
          <cell r="A10" t="str">
            <v>IL20</v>
          </cell>
          <cell r="B10" t="str">
            <v>ICB</v>
          </cell>
          <cell r="C10">
            <v>2</v>
          </cell>
          <cell r="D10" t="str">
            <v>4.3; 4.4; 4.8</v>
          </cell>
          <cell r="E10" t="str">
            <v xml:space="preserve">SY044, SY042, SY107, SY128, SY082, SY106 </v>
          </cell>
          <cell r="F10" t="str">
            <v>Medicines Management - Our 4 places have moved from different arrangements in identifying and undertaking their work with some behind schedule in achieving their target savings. This is due to a number of factors: New medicine announcements from NICE/NHSE; enhanced access and access PCN DES requirement changes; Community pharmacy contract and QOF metrics aimed to increase case finding (BP, AF) and to achieve targets for lipid modification, AF and BP; Retirement of Structured Medication Reviews (SMRs) in  Investment and Impact Fund (IIF);  'No Cheaper Stock Obtainable' (NCSO) – this is not thought to be improving this year; cost of living leading to decreased willingness for patients to purchase self-care medication; MO redesign with held vacancies and disruption to BAU during the process; GP collective actions.</v>
          </cell>
          <cell r="G10">
            <v>5</v>
          </cell>
          <cell r="H10">
            <v>4</v>
          </cell>
          <cell r="I10">
            <v>20</v>
          </cell>
          <cell r="J10" t="str">
            <v>Accountable</v>
          </cell>
          <cell r="K10" t="str">
            <v xml:space="preserve">1. NHSE National medicines optimisation opportunities 5 of 16 areas prioritised. 
2. Robust plans for QIPP and cost efficient spending on medicines and devices. 
3. ICB incentive/ quality schemes to replace IIF, ICB wide funded minor ailment and linking to CPCS and Pharmacy First scheme.
4. Review of going further faster considerations for future schemes and invest to save.
5. Options paper on alternative delivery models provided for executive consideration.
</v>
          </cell>
          <cell r="L10" t="str">
            <v>Dr David Crichton 
Chief Medical Officer</v>
          </cell>
          <cell r="M10" t="str">
            <v>Risk Register - SY103</v>
          </cell>
          <cell r="N10" t="str">
            <v>02/08/2024
14/10/2024
19/11/2024
30/12/2024
04/02/2025
05/05/2025
15/08/2025
01/12/2025
02/03/2026</v>
          </cell>
          <cell r="O10">
            <v>46114</v>
          </cell>
          <cell r="P10" t="str">
            <v>Not overdue</v>
          </cell>
          <cell r="Q10" t="str">
            <v>Alex Molyneux</v>
          </cell>
          <cell r="R10" t="str">
            <v xml:space="preserve">August 2025 -  delay in ICB cuts consultation has impacted on progressing the restructuring of the MO team. Vacancies are happening as people seek alternative opportunities and certainty.  Mitigations through overtime extensions has helped ensure essential work continues.
Dec 2025 - the launch of the model ICB consultation compound the existing risks by diverting focus of delivery colleagues away from efficient performance. The lack of a post May delivery team is a risk to around £6.5m of ICB qipp.
March 2026 - planning assumptions for 26/27 financial year commenced and financial pressure means greater expectation of MO QIPP than previous years. Impact of Organisational change also impacting on delivery models. 
</v>
          </cell>
          <cell r="S10" t="str">
            <v>Monthly</v>
          </cell>
          <cell r="T10" t="str">
            <v>Medicines Optimisation Transformation and Delivery Group</v>
          </cell>
          <cell r="U10" t="str">
            <v>Quality Performance Patient Involvement Experience (QPPIE)</v>
          </cell>
          <cell r="V10">
            <v>45506</v>
          </cell>
          <cell r="X10" t="str">
            <v>Raised as in issue following increase in score on Risk Register (SY103)</v>
          </cell>
        </row>
        <row r="11">
          <cell r="A11" t="str">
            <v>IL23</v>
          </cell>
          <cell r="B11" t="str">
            <v>ICB</v>
          </cell>
          <cell r="C11" t="str">
            <v>2, 5, 6, 7, 8</v>
          </cell>
          <cell r="D11">
            <v>2.8</v>
          </cell>
          <cell r="E11" t="str">
            <v>SY139 / SY140</v>
          </cell>
          <cell r="F11" t="str">
            <v>Enhanced Continuty of Carer is not currently in place in any provider in South Yorkshire. This means that the most vulnerable women will not receive enhanced continuity of carer causing a negative impact on outcomes</v>
          </cell>
          <cell r="G11">
            <v>3</v>
          </cell>
          <cell r="H11">
            <v>4</v>
          </cell>
          <cell r="I11">
            <v>12</v>
          </cell>
          <cell r="J11" t="str">
            <v>Accountable</v>
          </cell>
          <cell r="K11" t="str">
            <v>1)Different models of care are in each provider via vulnerabilities team which provides enhanced care for the most vulnerable women. 
2)Now that Midwifery establishment has been reached based on Birth Rate + (BR+) methodology, providers can begin to implement enhanced CoC plans</v>
          </cell>
          <cell r="L11" t="str">
            <v>Cathy Winfield</v>
          </cell>
          <cell r="M11" t="str">
            <v>LMNS Risk Register - R028</v>
          </cell>
          <cell r="N11" t="str">
            <v>31/03/2025
18/08/2025
16/12/2025</v>
          </cell>
          <cell r="O11">
            <v>46097</v>
          </cell>
          <cell r="P11" t="str">
            <v xml:space="preserve">-17 </v>
          </cell>
          <cell r="Q11" t="str">
            <v>Jodie Deadman</v>
          </cell>
          <cell r="R11" t="str">
            <v xml:space="preserve">December 2025 - Enhanced CoC funding provided for 25/26 to support building blocks and implementation of provider enhanced CoC plans. Future commissioning decision required. </v>
          </cell>
          <cell r="S11" t="str">
            <v>Completed by Corporate Risk Team</v>
          </cell>
          <cell r="T11" t="str">
            <v>LMNS</v>
          </cell>
          <cell r="U11" t="str">
            <v>QPPIE</v>
          </cell>
          <cell r="V11">
            <v>45747</v>
          </cell>
        </row>
        <row r="12">
          <cell r="A12" t="str">
            <v>IL09</v>
          </cell>
          <cell r="B12" t="str">
            <v>ICB</v>
          </cell>
          <cell r="C12" t="str">
            <v>3,5,6</v>
          </cell>
          <cell r="D12">
            <v>2.11</v>
          </cell>
          <cell r="E12" t="str">
            <v>SY112</v>
          </cell>
          <cell r="F12" t="str">
            <v>Medication Supply - There is a risk that shortages of medicines due to increases in demand and/or supply issues will prevent appropriate treatment/ condition management and potentially increase medicine costs.</v>
          </cell>
          <cell r="G12">
            <v>5</v>
          </cell>
          <cell r="H12">
            <v>2</v>
          </cell>
          <cell r="I12">
            <v>10</v>
          </cell>
          <cell r="J12" t="str">
            <v>Accountable</v>
          </cell>
          <cell r="K12" t="str">
            <v>1)To communicate deployment of serious shortage protocols An additional mitigation/ response is a co-ordinated sharing of out of stock information across places now rolled out across SY except certain practices in Sheffield who have refused connection to the system. 
2) A tactical level response have been developed for use in the event of a sudden shortage.                                                                                                                                                                                                           3)to raise with the system control centres,  the possibility of dealing stock from hospitals, release advice about alternatives and how they can be used to raise with NHS region.  
4)All-Party Parliamentary Group on Pharmacy - Call for written evidence on medicines shortages. Closed 24th January 2025, awaiting outcome.</v>
          </cell>
          <cell r="L12" t="str">
            <v>Dr David Crichton 
Chief Medical Officer</v>
          </cell>
          <cell r="M12" t="str">
            <v>Previous CCG Risk Management Processes</v>
          </cell>
          <cell r="N12" t="str">
            <v>13/04/2023                            
  02/05/2023      03/07/2023                 18/08/2023                         21/09/2023                                      16/10/2023
09/01/2024
21/02/2024
30/04/2024
20/05/2024
30/06/2024
22/07/2024
02/09/2024
05/09/2024
19/11/2024
04/02/2025
05/05/2025
15/08/2025
22/08/2025
01/12/2025
02/03/2026</v>
          </cell>
          <cell r="O12">
            <v>46175</v>
          </cell>
          <cell r="P12" t="str">
            <v>Not overdue</v>
          </cell>
          <cell r="Q12" t="str">
            <v>Alex Molyneux  (Chief Pharmacy Officer)</v>
          </cell>
          <cell r="R12" t="str">
            <v>August 2025 - National shortages of medicines remain, processes to manage this continue. Work is proposed nationally to have a reporting system to aide patients to find pharmacies who do have stock of the medicines. Dec 2025 - Many Sheffield practices continue to refuse connection to the stock notification Accu Rx system, resulting in unnecessary delays to treatment. Several attempts have been made to demonstrate the effectiveness of the system
March 26 - medicines availability continues to be an issue and has been raised by chemist as a challenge to manage alternatives.</v>
          </cell>
          <cell r="S12" t="str">
            <v>Quarterly</v>
          </cell>
          <cell r="T12" t="str">
            <v>All Place Committees</v>
          </cell>
          <cell r="U12" t="str">
            <v>Quality Performance Patient Involvement Experience (QPPIE)</v>
          </cell>
          <cell r="V12">
            <v>45029</v>
          </cell>
          <cell r="W12">
            <v>776</v>
          </cell>
          <cell r="X12" t="str">
            <v>This is a fluid topic with new alerts of medication shortages. A paper was presented to QPIE in September to share the oversight and assurance processes.
8th Jan 24. All-Party Parliamentary Group on Pharmacy - Call for written evidence on medicines shortages. Closed 24th January 2025, awaiting outcome.</v>
          </cell>
        </row>
        <row r="13">
          <cell r="A13" t="str">
            <v>IL24</v>
          </cell>
          <cell r="B13" t="str">
            <v>ICB</v>
          </cell>
          <cell r="C13" t="str">
            <v>1, 4</v>
          </cell>
          <cell r="D13">
            <v>2.8</v>
          </cell>
          <cell r="E13" t="str">
            <v>SY139 / SY140</v>
          </cell>
          <cell r="F13" t="str">
            <v>Midwifery establishment has been reached based on Birth Rate Plus (BR+) methodology in all providers, therefore there are insufficient vacancies to accommodate all midwives qualifying in South Yorkshire in 2025.</v>
          </cell>
          <cell r="G13">
            <v>3</v>
          </cell>
          <cell r="H13">
            <v>3</v>
          </cell>
          <cell r="I13">
            <v>9</v>
          </cell>
          <cell r="J13" t="str">
            <v>Accountable</v>
          </cell>
          <cell r="K13" t="str">
            <v>1)All Trusts to complete workforce planning, predicting vacancy and considering overrecruitment to cover mat leave/sickness. 
2)Offer reduced WTE to increase headcount role offer. Work with neighbouring LMNSs to support SY students to secure roles.</v>
          </cell>
          <cell r="L13" t="str">
            <v>Cathy Winfield</v>
          </cell>
          <cell r="M13" t="str">
            <v>LMNS Risk Register - R029</v>
          </cell>
          <cell r="N13" t="str">
            <v>31/03/2025
16/12/2025</v>
          </cell>
          <cell r="O13">
            <v>46097</v>
          </cell>
          <cell r="P13" t="str">
            <v xml:space="preserve">-17 </v>
          </cell>
          <cell r="Q13" t="str">
            <v>Jodie Deadman</v>
          </cell>
          <cell r="R13" t="str">
            <v xml:space="preserve">December 2025 - Centralised recruitment process complete with roles offered. National offer to support all NQMs into roles creating additional roles (25/26). Limited vacancies across SY into 26/27. </v>
          </cell>
          <cell r="S13" t="str">
            <v>Monthly</v>
          </cell>
          <cell r="T13" t="str">
            <v>LMNS</v>
          </cell>
          <cell r="U13" t="str">
            <v>QPPIE</v>
          </cell>
          <cell r="V13">
            <v>38442</v>
          </cell>
          <cell r="W13">
            <v>5481</v>
          </cell>
          <cell r="X13" t="str">
            <v xml:space="preserve">70 midwives expected to qualify from South Yorkshire based universities in 2025. Minimal vacancies, recruitment to mitigate headroom and maternity leave will result in approximately 30-40 WTE roles. </v>
          </cell>
        </row>
        <row r="14">
          <cell r="A14" t="str">
            <v>IL25</v>
          </cell>
          <cell r="B14" t="str">
            <v>ICB</v>
          </cell>
          <cell r="C14" t="str">
            <v>2, 3, 6, 7, 8</v>
          </cell>
          <cell r="F14" t="str">
            <v xml:space="preserve">There is a current issue of inaccurate baseline data for mid-term planning and forecasting due to significant discrepancies between local admissions data and national baseline data, where a marked increase in admissions (approximately a 70% rise for autistic people in Sheffield) is not reflected in the Assuring Transformation platform or National Health Service England data. This has resulted in an underestimation of current demand, distorted assumptions around discharge trajectories (with average discharge timescales of approximately 18 months), and potential misalignment of capacity planning and resource allocation.
</v>
          </cell>
          <cell r="G14">
            <v>4</v>
          </cell>
          <cell r="H14">
            <v>3</v>
          </cell>
          <cell r="I14">
            <v>12</v>
          </cell>
          <cell r="J14" t="str">
            <v>Accountable</v>
          </cell>
          <cell r="K14" t="str">
            <v>1)Review local admissions and discharges line by line to ensure internal planning numbers reflect the current local picture.
2)Scheduled meetings in January with relevant stakeholders to identify opportunities to reduce admissions and accelerate discharges.
3) Align discussions with commissioning intentions to consider long-term impacts of current initiatives, including procurement and infrastructure changes.
4) Maintain conservative projections in first submission to avoid over-promising outcomes.
5) Monitor progress and update assumptions as new data becomes available.</v>
          </cell>
          <cell r="L14" t="str">
            <v>Sarah Perkins</v>
          </cell>
          <cell r="M14" t="str">
            <v>Identified via LDA inpatient monitoring meetings then raised at Programme Oversight &amp; Support Meeting with NHSE as part of mid term planning</v>
          </cell>
          <cell r="N14">
            <v>46048</v>
          </cell>
          <cell r="O14">
            <v>46138</v>
          </cell>
          <cell r="P14" t="str">
            <v>Not overdue</v>
          </cell>
          <cell r="Q14" t="str">
            <v>Anita Winter
Sarah Boul</v>
          </cell>
          <cell r="R14" t="str">
            <v>January 2026 - The proposed trajectories do not currently meet the NHSE ask, which we have interpreted as follows:
o	EKH32 and EKH33 – A 30% reduction (or 20% where the 30% reduction is not achieved in 2025/26) by March 2027, from a March 2024 baseline. We have been unable to meet this requirement due to a substantial increase in admissions since March 2024. Our current assumption is a 30% reduction in admissions alongside a 30% increase in discharge rates; however, this will require further system-wide discussion.
o	EK1c – Reduction from the March 2026 expected outturn. As above, we are currently modelling a 30% reduction in admissions and a 30% increase in discharge rates, subject to wider system agreement.
o	EK4 – Reduction from the March 2026 expected outturn. We are proposing a 10% reduction per year over the next three years.
o	EK5 – Reduction to 29 per million population. Our proposal models a 30% reduction in admissions in year one, followed by a 10% reduction in years two and three. This would result in a rate of approximately 34 per million population, rather than the NHSE target.</v>
          </cell>
          <cell r="S14" t="str">
            <v>Quarterly</v>
          </cell>
          <cell r="T14" t="str">
            <v xml:space="preserve"> POSM</v>
          </cell>
          <cell r="U14" t="str">
            <v>System Quality Group</v>
          </cell>
          <cell r="V14">
            <v>46048</v>
          </cell>
          <cell r="W14">
            <v>49</v>
          </cell>
          <cell r="X14" t="str">
            <v>We have gone reviewed the data again and these numbers are based on the local picture as it currently stands (and what’s has gone in the previous 12 months and how that might influence the outturn for Mar 26 etc) – we have gone through the local information we hold line by line and the numbers of admissions have increased significantly (c.70% for autistic people for Sheffield alone – but this information has not made it to the AT platform (and therefore nor to the data and insights team) and so the information re baselines from NHSE is incorrect). 
The rise in admissions has a great knock on affect for discharges as it can take on average 18 months to get people out. We do have more planned discharges that we have counted for as we feel based on latest narrative that these people will not be discharged in the Quarters that its showing, so we have not over promised or tried to over promised for this first submission. 
We have a meeting scheduled (in Jan) with those that can support conversations about bringing these numbers down and being more ambitious for this cohort of people. We can also more so coincide this conversation around the current work that’s going on regarding commissioning intentions as we know that some of this work will have a positive impact on this cohort, however it might not be recognised for about 2-3yrs due to work that’s needs around procurement and building etc.</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EDFF02-B8CE-45AD-B247-936C6060F97F}" name="Table25" displayName="Table25" ref="A2:AB3969" totalsRowShown="0" headerRowDxfId="122" dataDxfId="120" headerRowBorderDxfId="121" tableBorderDxfId="119" totalsRowBorderDxfId="118" headerRowCellStyle="Normal 15">
  <autoFilter ref="A2:AB3969" xr:uid="{CBBCBFCB-2250-409C-AB41-B71C3ED887CA}"/>
  <sortState xmlns:xlrd2="http://schemas.microsoft.com/office/spreadsheetml/2017/richdata2" ref="A3:AB3969">
    <sortCondition descending="1" ref="P2:P3969"/>
  </sortState>
  <tableColumns count="28">
    <tableColumn id="1" xr3:uid="{376A0875-0E23-48E1-8670-84FF966FE5D8}" name="Ref" dataDxfId="117"/>
    <tableColumn id="2" xr3:uid="{F8757524-9B14-4E1B-8EBA-7A0BD119C227}" name="Place" dataDxfId="116"/>
    <tableColumn id="3" xr3:uid="{A5F225AB-29D2-4F7C-AC9E-508D363B5A64}" name="Category" dataDxfId="115"/>
    <tableColumn id="4" xr3:uid="{448CD60B-01FB-4454-8F7A-80A1419160CA}" name="Domain" dataDxfId="114"/>
    <tableColumn id="5" xr3:uid="{2046AC1A-BBA8-4616-B8E7-42A6E1D266BE}" name="Link to Board Assurance Framework" dataDxfId="113"/>
    <tableColumn id="6" xr3:uid="{10694CEB-FFE0-4E6D-9678-7069407E78FE}" name="Risk Description" dataDxfId="112"/>
    <tableColumn id="7" xr3:uid="{63FFBFCD-912E-42F9-AA22-55E69FCBF695}" name="Likelihood" dataDxfId="111"/>
    <tableColumn id="8" xr3:uid="{E04BBFAA-0AE1-48C4-ABA7-8D8A483544F1}" name="Impact " dataDxfId="110"/>
    <tableColumn id="9" xr3:uid="{11802A13-D685-41C1-ACDD-B56FBC0984E2}" name="Score" dataDxfId="109"/>
    <tableColumn id="10" xr3:uid="{C1DFEBC0-CF98-4DEB-A87E-538364271A25}" name="RACI" dataDxfId="108"/>
    <tableColumn id="11" xr3:uid="{2D8F41E7-E7DB-4C63-9590-C1A9EAD4F08C}" name="Mitigation / Treatment" dataDxfId="107"/>
    <tableColumn id="12" xr3:uid="{9A7A6252-8293-42BA-9897-B39A788A19C1}" name="Lead risk owner" dataDxfId="106"/>
    <tableColumn id="13" xr3:uid="{86559E4B-7A60-4671-BEF8-5754F726025F}" name="Source of Risk" dataDxfId="105"/>
    <tableColumn id="14" xr3:uid="{2F0CFFEC-4E5D-4A09-B5F8-3E6E955EA809}" name="Likelihood." dataDxfId="104"/>
    <tableColumn id="15" xr3:uid="{2DB8A4F5-43B5-41D3-B3A0-EA0EBEED44D9}" name="Impact" dataDxfId="103"/>
    <tableColumn id="16" xr3:uid="{243AC9B8-A586-40BE-9B4C-954E5B87BF09}" name="Residual Score " dataDxfId="102"/>
    <tableColumn id="17" xr3:uid="{CD2B8DA9-EF78-4D1B-BF15-36E25CDF060D}" name="Date risk assessed" dataDxfId="101"/>
    <tableColumn id="18" xr3:uid="{9A5EFD5F-9E50-4B49-BC6E-63B14A50FAB1}" name="Next assessment due" dataDxfId="100"/>
    <tableColumn id="19" xr3:uid="{C78C8BA5-E2FA-4C70-B2EA-C35B8BC66661}" name="Days Overdue" dataDxfId="99"/>
    <tableColumn id="20" xr3:uid="{4DCB3B57-89C7-4716-A25B-30684D60AA15}" name="Person Responsible for Updates" dataDxfId="98"/>
    <tableColumn id="21" xr3:uid="{0393166C-C254-4A8D-8C94-AF5649918598}" name="Progress / Update " dataDxfId="97"/>
    <tableColumn id="22" xr3:uid="{B9758BD7-EAF3-486C-A765-5FF808521D23}" name="Date for reassessment" dataDxfId="96"/>
    <tableColumn id="23" xr3:uid="{912EB27B-1FB0-4D10-B05E-E57FC1B33EE8}" name="Assurance " dataDxfId="95"/>
    <tableColumn id="24" xr3:uid="{56C9E02E-6FE5-4500-AE32-7C7746882375}" name="Oversight " dataDxfId="94"/>
    <tableColumn id="25" xr3:uid="{D0BFE19A-B826-492A-BA63-9E9D2500C28D}" name="Date added to RR" dataDxfId="93"/>
    <tableColumn id="26" xr3:uid="{D0789FC3-AAED-4D1E-9597-59EEFA3C1C5D}" name="Month added to RR" dataDxfId="92"/>
    <tableColumn id="27" xr3:uid="{92DC6AB4-39C3-496B-88EC-1DE3EF2E9C1C}" name="Number of days open" dataDxfId="91"/>
    <tableColumn id="28" xr3:uid="{B1FD39C4-33D4-4C2E-AD9C-A6BC44F3704C}" name="Commentary to Support Review" dataDxfId="9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26C62A1-2BC0-42FE-BF2B-D6CDDE118064}" name="Table25791011" displayName="Table25791011" ref="A2:X5" totalsRowShown="0" headerRowDxfId="89" dataDxfId="87" totalsRowDxfId="85" headerRowBorderDxfId="88" tableBorderDxfId="86" totalsRowBorderDxfId="84" headerRowCellStyle="Normal 15">
  <autoFilter ref="A2:X5" xr:uid="{226C62A1-2BC0-42FE-BF2B-D6CDDE118064}"/>
  <sortState xmlns:xlrd2="http://schemas.microsoft.com/office/spreadsheetml/2017/richdata2" ref="A3:W5">
    <sortCondition descending="1" ref="H2:H5"/>
  </sortState>
  <tableColumns count="24">
    <tableColumn id="1" xr3:uid="{4DCA5CE1-596E-4020-87BF-AAABB09F1D5F}" name="Ref" dataDxfId="83"/>
    <tableColumn id="2" xr3:uid="{2756DD4E-357C-4358-978A-0D4E062A8B00}" name="Place/ICB" dataDxfId="82" totalsRowDxfId="81"/>
    <tableColumn id="3" xr3:uid="{40A5E7EB-E190-4130-B2BA-9D3F02DE7EC8}" name="Domain" dataDxfId="80" totalsRowDxfId="79"/>
    <tableColumn id="4" xr3:uid="{355EB081-C3C7-43CD-A0EF-CADDA108F5D1}" name="Link to BAF/RR" dataDxfId="78" totalsRowDxfId="77"/>
    <tableColumn id="5" xr3:uid="{80BABDB5-D1A9-4E58-A748-F6A123BE2A2A}" name="Link to RR" dataDxfId="76" totalsRowDxfId="75"/>
    <tableColumn id="6" xr3:uid="{0922C2FA-34A3-4958-B9CE-E6E7FEB32407}" name="Issue Description" dataDxfId="74" totalsRowDxfId="73"/>
    <tableColumn id="7" xr3:uid="{6DC7B947-59CF-4FF2-8642-40E1094DD666}" name="Likelihood" dataDxfId="72" totalsRowDxfId="71"/>
    <tableColumn id="8" xr3:uid="{8666A115-6B10-4113-84D6-EA656F048FA0}" name="Impact" dataDxfId="70" totalsRowDxfId="69"/>
    <tableColumn id="9" xr3:uid="{C73066B9-909E-47EA-BD65-29AD0CAF19B5}" name="Score" dataDxfId="68" totalsRowDxfId="67"/>
    <tableColumn id="10" xr3:uid="{10295098-A452-4DD5-9FE4-393C853CA5B4}" name="RACI" dataDxfId="66" totalsRowDxfId="65"/>
    <tableColumn id="11" xr3:uid="{5FFD7797-B8C3-4A39-9B7E-64B5573FDCAB}" name="Mitigation / Treatment" dataDxfId="64" totalsRowDxfId="63"/>
    <tableColumn id="12" xr3:uid="{34DF1332-BCAC-4A87-8CE4-F5A9F7E0B31E}" name="Lead Issue Owner" dataDxfId="62" totalsRowDxfId="61"/>
    <tableColumn id="13" xr3:uid="{5A32EA9F-15A4-4894-9203-10CE76522DA0}" name="Source of Issue" dataDxfId="60" totalsRowDxfId="59"/>
    <tableColumn id="14" xr3:uid="{2B7300F4-52D9-48BB-99F0-A60BF8BF0410}" name="Date reviewed" dataDxfId="58" totalsRowDxfId="57"/>
    <tableColumn id="15" xr3:uid="{13F2619C-B639-43D3-A4D9-2BA57A0216D9}" name="Due for Review" dataDxfId="56" totalsRowDxfId="55"/>
    <tableColumn id="16" xr3:uid="{8E9E5456-D19E-4212-970E-F31038B74EE1}" name="Overdue?" dataDxfId="54" totalsRowDxfId="53"/>
    <tableColumn id="17" xr3:uid="{80FCFA96-14EC-4C84-8D60-FA0440292E6C}" name="Person Responsible for Update" dataDxfId="52" totalsRowDxfId="51"/>
    <tableColumn id="18" xr3:uid="{29FB58FF-B259-484A-AAA0-8378A62718C7}" name="Update" dataDxfId="50" totalsRowDxfId="49"/>
    <tableColumn id="19" xr3:uid="{010C1C3E-24FC-4692-814B-25035125329F}" name="Review Frequency" dataDxfId="48" totalsRowDxfId="47"/>
    <tableColumn id="20" xr3:uid="{3062FE26-6612-4015-931A-4A1F3E6F9C01}" name="Assurance" dataDxfId="46" totalsRowDxfId="45"/>
    <tableColumn id="21" xr3:uid="{A6FA5A06-CA3F-4971-A63D-1A8ECF90E993}" name="Oversight" dataDxfId="44" totalsRowDxfId="43"/>
    <tableColumn id="22" xr3:uid="{D6E159E4-62B8-4C1C-80E0-8CD39B7E4BD3}" name="Date added to IL" dataDxfId="42" totalsRowDxfId="41"/>
    <tableColumn id="23" xr3:uid="{DD34267E-6BCF-498C-826E-803CA1EE1FD2}" name="Days Open" dataDxfId="40" totalsRowDxfId="39"/>
    <tableColumn id="24" xr3:uid="{437E6FBE-5B17-4E23-B24D-3EA175D22D50}" name="Comments" dataDxfId="38" totalsRowDxfId="3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B4D70-89DE-4E8F-BCF6-AB898AD8BE70}">
  <dimension ref="A11:C18"/>
  <sheetViews>
    <sheetView showGridLines="0" topLeftCell="A6" zoomScale="80" zoomScaleNormal="80" workbookViewId="0">
      <selection activeCell="C16" sqref="C16"/>
    </sheetView>
  </sheetViews>
  <sheetFormatPr defaultColWidth="9.1796875" defaultRowHeight="14" x14ac:dyDescent="0.3"/>
  <cols>
    <col min="1" max="1" width="9.1796875" style="10"/>
    <col min="2" max="2" width="32.453125" style="10" customWidth="1"/>
    <col min="3" max="3" width="31.7265625" style="10" customWidth="1"/>
    <col min="4" max="16384" width="9.1796875" style="10"/>
  </cols>
  <sheetData>
    <row r="11" spans="1:3" ht="32.5" x14ac:dyDescent="0.3">
      <c r="A11" s="65" t="s">
        <v>0</v>
      </c>
    </row>
    <row r="14" spans="1:3" ht="35" x14ac:dyDescent="0.55000000000000004">
      <c r="A14" s="20" t="s">
        <v>1</v>
      </c>
      <c r="C14" s="21" t="s">
        <v>2</v>
      </c>
    </row>
    <row r="15" spans="1:3" ht="35" x14ac:dyDescent="0.55000000000000004">
      <c r="A15" s="20" t="s">
        <v>3</v>
      </c>
      <c r="C15" s="22">
        <v>46086</v>
      </c>
    </row>
    <row r="16" spans="1:3" ht="35" x14ac:dyDescent="0.3">
      <c r="A16" s="20"/>
    </row>
    <row r="17" spans="1:3" ht="25" x14ac:dyDescent="0.5">
      <c r="A17" s="23" t="s">
        <v>4</v>
      </c>
      <c r="C17" s="24" t="s">
        <v>177</v>
      </c>
    </row>
    <row r="18" spans="1:3" ht="35" x14ac:dyDescent="0.7">
      <c r="A18" s="25"/>
    </row>
  </sheetData>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66AB9-428F-4A32-BEC2-BF6166EA062F}">
  <dimension ref="A10:N18"/>
  <sheetViews>
    <sheetView showGridLines="0" topLeftCell="A14" zoomScale="80" zoomScaleNormal="80" workbookViewId="0"/>
  </sheetViews>
  <sheetFormatPr defaultColWidth="9.1796875" defaultRowHeight="14" x14ac:dyDescent="0.3"/>
  <cols>
    <col min="1" max="13" width="9.1796875" style="10"/>
    <col min="14" max="14" width="26.81640625" style="10" customWidth="1"/>
    <col min="15" max="16384" width="9.1796875" style="10"/>
  </cols>
  <sheetData>
    <row r="10" spans="1:14" x14ac:dyDescent="0.3">
      <c r="A10" s="207" t="s">
        <v>5</v>
      </c>
      <c r="B10" s="208"/>
      <c r="C10" s="208"/>
      <c r="D10" s="208"/>
      <c r="E10" s="208"/>
      <c r="F10" s="208"/>
      <c r="G10" s="208"/>
      <c r="H10" s="208"/>
      <c r="I10" s="208"/>
      <c r="J10" s="208"/>
      <c r="K10" s="208"/>
      <c r="L10" s="208"/>
      <c r="M10" s="208"/>
      <c r="N10" s="208"/>
    </row>
    <row r="11" spans="1:14" ht="59.25" customHeight="1" x14ac:dyDescent="0.3">
      <c r="A11" s="208"/>
      <c r="B11" s="208"/>
      <c r="C11" s="208"/>
      <c r="D11" s="208"/>
      <c r="E11" s="208"/>
      <c r="F11" s="208"/>
      <c r="G11" s="208"/>
      <c r="H11" s="208"/>
      <c r="I11" s="208"/>
      <c r="J11" s="208"/>
      <c r="K11" s="208"/>
      <c r="L11" s="208"/>
      <c r="M11" s="208"/>
      <c r="N11" s="208"/>
    </row>
    <row r="12" spans="1:14" x14ac:dyDescent="0.3">
      <c r="A12" s="208"/>
      <c r="B12" s="208"/>
      <c r="C12" s="208"/>
      <c r="D12" s="208"/>
      <c r="E12" s="208"/>
      <c r="F12" s="208"/>
      <c r="G12" s="208"/>
      <c r="H12" s="208"/>
      <c r="I12" s="208"/>
      <c r="J12" s="208"/>
      <c r="K12" s="208"/>
      <c r="L12" s="208"/>
      <c r="M12" s="208"/>
      <c r="N12" s="208"/>
    </row>
    <row r="13" spans="1:14" x14ac:dyDescent="0.3">
      <c r="A13" s="208"/>
      <c r="B13" s="208"/>
      <c r="C13" s="208"/>
      <c r="D13" s="208"/>
      <c r="E13" s="208"/>
      <c r="F13" s="208"/>
      <c r="G13" s="208"/>
      <c r="H13" s="208"/>
      <c r="I13" s="208"/>
      <c r="J13" s="208"/>
      <c r="K13" s="208"/>
      <c r="L13" s="208"/>
      <c r="M13" s="208"/>
      <c r="N13" s="208"/>
    </row>
    <row r="14" spans="1:14" ht="36" customHeight="1" x14ac:dyDescent="0.3">
      <c r="A14" s="208"/>
      <c r="B14" s="208"/>
      <c r="C14" s="208"/>
      <c r="D14" s="208"/>
      <c r="E14" s="208"/>
      <c r="F14" s="208"/>
      <c r="G14" s="208"/>
      <c r="H14" s="208"/>
      <c r="I14" s="208"/>
      <c r="J14" s="208"/>
      <c r="K14" s="208"/>
      <c r="L14" s="208"/>
      <c r="M14" s="208"/>
      <c r="N14" s="208"/>
    </row>
    <row r="15" spans="1:14" ht="36" customHeight="1" x14ac:dyDescent="0.3">
      <c r="A15" s="208"/>
      <c r="B15" s="208"/>
      <c r="C15" s="208"/>
      <c r="D15" s="208"/>
      <c r="E15" s="208"/>
      <c r="F15" s="208"/>
      <c r="G15" s="208"/>
      <c r="H15" s="208"/>
      <c r="I15" s="208"/>
      <c r="J15" s="208"/>
      <c r="K15" s="208"/>
      <c r="L15" s="208"/>
      <c r="M15" s="208"/>
      <c r="N15" s="208"/>
    </row>
    <row r="16" spans="1:14" ht="36" customHeight="1" x14ac:dyDescent="0.3">
      <c r="A16" s="208"/>
      <c r="B16" s="208"/>
      <c r="C16" s="208"/>
      <c r="D16" s="208"/>
      <c r="E16" s="208"/>
      <c r="F16" s="208"/>
      <c r="G16" s="208"/>
      <c r="H16" s="208"/>
      <c r="I16" s="208"/>
      <c r="J16" s="208"/>
      <c r="K16" s="208"/>
      <c r="L16" s="208"/>
      <c r="M16" s="208"/>
      <c r="N16" s="208"/>
    </row>
    <row r="17" spans="1:14" ht="26.15" customHeight="1" x14ac:dyDescent="0.3">
      <c r="A17" s="208"/>
      <c r="B17" s="208"/>
      <c r="C17" s="208"/>
      <c r="D17" s="208"/>
      <c r="E17" s="208"/>
      <c r="F17" s="208"/>
      <c r="G17" s="208"/>
      <c r="H17" s="208"/>
      <c r="I17" s="208"/>
      <c r="J17" s="208"/>
      <c r="K17" s="208"/>
      <c r="L17" s="208"/>
      <c r="M17" s="208"/>
      <c r="N17" s="208"/>
    </row>
    <row r="18" spans="1:14" ht="281.25" customHeight="1" x14ac:dyDescent="0.3">
      <c r="A18" s="208"/>
      <c r="B18" s="208"/>
      <c r="C18" s="208"/>
      <c r="D18" s="208"/>
      <c r="E18" s="208"/>
      <c r="F18" s="208"/>
      <c r="G18" s="208"/>
      <c r="H18" s="208"/>
      <c r="I18" s="208"/>
      <c r="J18" s="208"/>
      <c r="K18" s="208"/>
      <c r="L18" s="208"/>
      <c r="M18" s="208"/>
      <c r="N18" s="208"/>
    </row>
  </sheetData>
  <mergeCells count="1">
    <mergeCell ref="A10:N18"/>
  </mergeCells>
  <pageMargins left="0.7" right="0.7" top="0.75" bottom="0.75"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D128A-78FA-47B5-8223-57C8E36D51EE}">
  <sheetPr>
    <pageSetUpPr fitToPage="1"/>
  </sheetPr>
  <dimension ref="A1:V70"/>
  <sheetViews>
    <sheetView showGridLines="0" topLeftCell="A28" zoomScale="80" zoomScaleNormal="80" workbookViewId="0">
      <selection activeCell="H29" sqref="H29"/>
    </sheetView>
  </sheetViews>
  <sheetFormatPr defaultColWidth="9.1796875" defaultRowHeight="14" x14ac:dyDescent="0.3"/>
  <cols>
    <col min="1" max="2" width="16.453125" style="10" customWidth="1"/>
    <col min="3" max="3" width="20.1796875" style="10" customWidth="1"/>
    <col min="4" max="4" width="17" style="10" customWidth="1"/>
    <col min="5" max="5" width="17.1796875" style="10" customWidth="1"/>
    <col min="6" max="6" width="15.1796875" style="10" customWidth="1"/>
    <col min="7" max="7" width="9.1796875" style="10"/>
    <col min="8" max="8" width="35.453125" style="10" customWidth="1"/>
    <col min="9" max="9" width="26.81640625" style="10" customWidth="1"/>
    <col min="10" max="10" width="25.453125" style="10" customWidth="1"/>
    <col min="11" max="11" width="24.81640625" style="10" customWidth="1"/>
    <col min="12" max="12" width="24.1796875" style="10" customWidth="1"/>
    <col min="13" max="13" width="25.1796875" style="10" customWidth="1"/>
    <col min="14" max="14" width="9.1796875" style="10"/>
    <col min="15" max="15" width="24.90625" style="10" customWidth="1"/>
    <col min="16" max="16" width="24.6328125" style="10" customWidth="1"/>
    <col min="17" max="17" width="23.1796875" style="10" customWidth="1"/>
    <col min="18" max="18" width="24.08984375" style="10" customWidth="1"/>
    <col min="19" max="19" width="18.08984375" style="10" customWidth="1"/>
    <col min="20" max="20" width="26.1796875" style="10" customWidth="1"/>
    <col min="21" max="16384" width="9.1796875" style="10"/>
  </cols>
  <sheetData>
    <row r="1" spans="1:22" ht="32.5" x14ac:dyDescent="0.65">
      <c r="A1" s="209" t="s">
        <v>6</v>
      </c>
      <c r="B1" s="209"/>
      <c r="C1" s="209"/>
      <c r="D1" s="209"/>
      <c r="E1" s="96"/>
      <c r="F1" s="96"/>
      <c r="G1" s="96"/>
      <c r="H1" s="96"/>
      <c r="I1" s="96"/>
      <c r="J1" s="96"/>
      <c r="K1" s="96"/>
      <c r="L1" s="96"/>
      <c r="M1" s="96"/>
    </row>
    <row r="2" spans="1:22" ht="14.5" thickBot="1" x14ac:dyDescent="0.35">
      <c r="A2" s="96"/>
      <c r="B2" s="96"/>
      <c r="C2" s="96"/>
      <c r="D2" s="96"/>
      <c r="E2" s="96"/>
      <c r="F2" s="96"/>
      <c r="G2" s="96"/>
      <c r="H2" s="113"/>
      <c r="I2" s="113"/>
      <c r="J2" s="113"/>
      <c r="K2" s="113"/>
      <c r="L2" s="113"/>
      <c r="M2" s="113"/>
      <c r="N2" s="114"/>
      <c r="O2" s="114"/>
      <c r="P2" s="114"/>
      <c r="Q2" s="114"/>
      <c r="R2" s="114"/>
      <c r="S2" s="114"/>
      <c r="T2" s="114"/>
      <c r="U2" s="114"/>
      <c r="V2" s="114"/>
    </row>
    <row r="3" spans="1:22" ht="18.5" thickBot="1" x14ac:dyDescent="0.35">
      <c r="A3" s="103"/>
      <c r="B3" s="210" t="s">
        <v>7</v>
      </c>
      <c r="C3" s="211"/>
      <c r="D3" s="211"/>
      <c r="E3" s="211"/>
      <c r="F3" s="212"/>
      <c r="G3" s="96"/>
      <c r="H3" s="115"/>
      <c r="I3" s="213"/>
      <c r="J3" s="213"/>
      <c r="K3" s="213"/>
      <c r="L3" s="213"/>
      <c r="M3" s="213"/>
      <c r="N3" s="114"/>
      <c r="O3" s="115"/>
      <c r="P3" s="213"/>
      <c r="Q3" s="213"/>
      <c r="R3" s="213"/>
      <c r="S3" s="213"/>
      <c r="T3" s="213"/>
      <c r="U3" s="114"/>
      <c r="V3" s="114"/>
    </row>
    <row r="4" spans="1:22" ht="14.5" customHeight="1" thickBot="1" x14ac:dyDescent="0.35">
      <c r="A4" s="103"/>
      <c r="B4" s="214" t="s">
        <v>8</v>
      </c>
      <c r="C4" s="214" t="s">
        <v>9</v>
      </c>
      <c r="D4" s="214" t="s">
        <v>10</v>
      </c>
      <c r="E4" s="214" t="s">
        <v>11</v>
      </c>
      <c r="F4" s="214" t="s">
        <v>12</v>
      </c>
      <c r="G4" s="96"/>
      <c r="H4" s="115"/>
      <c r="I4" s="216"/>
      <c r="J4" s="216"/>
      <c r="K4" s="216"/>
      <c r="L4" s="216"/>
      <c r="M4" s="216"/>
      <c r="N4" s="114"/>
      <c r="O4" s="115"/>
      <c r="P4" s="216"/>
      <c r="Q4" s="216"/>
      <c r="R4" s="216"/>
      <c r="S4" s="216"/>
      <c r="T4" s="216"/>
      <c r="U4" s="114"/>
      <c r="V4" s="114"/>
    </row>
    <row r="5" spans="1:22" ht="18.5" thickBot="1" x14ac:dyDescent="0.35">
      <c r="A5" s="104" t="s">
        <v>13</v>
      </c>
      <c r="B5" s="215"/>
      <c r="C5" s="215"/>
      <c r="D5" s="215"/>
      <c r="E5" s="215"/>
      <c r="F5" s="215"/>
      <c r="G5" s="96"/>
      <c r="H5" s="116"/>
      <c r="I5" s="216"/>
      <c r="J5" s="216"/>
      <c r="K5" s="216"/>
      <c r="L5" s="216"/>
      <c r="M5" s="216"/>
      <c r="N5" s="114"/>
      <c r="O5" s="116"/>
      <c r="P5" s="216"/>
      <c r="Q5" s="216"/>
      <c r="R5" s="216"/>
      <c r="S5" s="216"/>
      <c r="T5" s="216"/>
      <c r="U5" s="114"/>
      <c r="V5" s="114"/>
    </row>
    <row r="6" spans="1:22" ht="31.5" thickBot="1" x14ac:dyDescent="0.35">
      <c r="A6" s="105" t="s">
        <v>14</v>
      </c>
      <c r="B6" s="106">
        <v>1</v>
      </c>
      <c r="C6" s="106">
        <v>2</v>
      </c>
      <c r="D6" s="106">
        <v>3</v>
      </c>
      <c r="E6" s="107">
        <v>4</v>
      </c>
      <c r="F6" s="107">
        <v>5</v>
      </c>
      <c r="G6" s="96"/>
      <c r="H6" s="117"/>
      <c r="I6" s="118"/>
      <c r="J6" s="118"/>
      <c r="K6" s="118"/>
      <c r="L6" s="118"/>
      <c r="M6" s="118"/>
      <c r="N6" s="114"/>
      <c r="O6" s="117"/>
      <c r="P6" s="119"/>
      <c r="Q6" s="119"/>
      <c r="R6" s="119"/>
      <c r="S6" s="119"/>
      <c r="T6" s="119"/>
      <c r="U6" s="114"/>
      <c r="V6" s="114"/>
    </row>
    <row r="7" spans="1:22" ht="31.5" thickBot="1" x14ac:dyDescent="0.35">
      <c r="A7" s="105" t="s">
        <v>15</v>
      </c>
      <c r="B7" s="106">
        <v>2</v>
      </c>
      <c r="C7" s="107">
        <v>4</v>
      </c>
      <c r="D7" s="107">
        <v>6</v>
      </c>
      <c r="E7" s="108">
        <v>8</v>
      </c>
      <c r="F7" s="108">
        <v>10</v>
      </c>
      <c r="G7" s="96"/>
      <c r="H7" s="117"/>
      <c r="I7" s="118"/>
      <c r="J7" s="118"/>
      <c r="K7" s="118"/>
      <c r="L7" s="118"/>
      <c r="M7" s="118"/>
      <c r="N7" s="114"/>
      <c r="O7" s="117"/>
      <c r="P7" s="119"/>
      <c r="Q7" s="119"/>
      <c r="R7" s="119"/>
      <c r="S7" s="119"/>
      <c r="T7" s="119"/>
      <c r="U7" s="114"/>
      <c r="V7" s="114"/>
    </row>
    <row r="8" spans="1:22" ht="31.5" thickBot="1" x14ac:dyDescent="0.35">
      <c r="A8" s="105" t="s">
        <v>16</v>
      </c>
      <c r="B8" s="106">
        <v>3</v>
      </c>
      <c r="C8" s="107">
        <v>6</v>
      </c>
      <c r="D8" s="108">
        <v>9</v>
      </c>
      <c r="E8" s="108">
        <v>12</v>
      </c>
      <c r="F8" s="109">
        <v>15</v>
      </c>
      <c r="G8" s="96"/>
      <c r="H8" s="117"/>
      <c r="I8" s="118"/>
      <c r="J8" s="118"/>
      <c r="K8" s="118"/>
      <c r="L8" s="118"/>
      <c r="M8" s="118"/>
      <c r="N8" s="114"/>
      <c r="O8" s="117"/>
      <c r="P8" s="119"/>
      <c r="Q8" s="119"/>
      <c r="R8" s="119"/>
      <c r="S8" s="119"/>
      <c r="T8" s="118"/>
      <c r="U8" s="114"/>
      <c r="V8" s="114"/>
    </row>
    <row r="9" spans="1:22" ht="31.5" thickBot="1" x14ac:dyDescent="0.35">
      <c r="A9" s="105" t="s">
        <v>17</v>
      </c>
      <c r="B9" s="107">
        <v>4</v>
      </c>
      <c r="C9" s="108">
        <v>8</v>
      </c>
      <c r="D9" s="108">
        <v>12</v>
      </c>
      <c r="E9" s="109">
        <v>16</v>
      </c>
      <c r="F9" s="109">
        <v>20</v>
      </c>
      <c r="G9" s="96"/>
      <c r="H9" s="117"/>
      <c r="I9" s="118"/>
      <c r="J9" s="118"/>
      <c r="K9" s="118"/>
      <c r="L9" s="118"/>
      <c r="M9" s="118"/>
      <c r="N9" s="114"/>
      <c r="O9" s="117"/>
      <c r="P9" s="119"/>
      <c r="Q9" s="119"/>
      <c r="R9" s="118"/>
      <c r="S9" s="118"/>
      <c r="T9" s="118"/>
      <c r="U9" s="114"/>
      <c r="V9" s="114"/>
    </row>
    <row r="10" spans="1:22" ht="47" thickBot="1" x14ac:dyDescent="0.35">
      <c r="A10" s="105" t="s">
        <v>18</v>
      </c>
      <c r="B10" s="107">
        <v>5</v>
      </c>
      <c r="C10" s="108">
        <v>10</v>
      </c>
      <c r="D10" s="109">
        <v>15</v>
      </c>
      <c r="E10" s="109">
        <v>20</v>
      </c>
      <c r="F10" s="110">
        <v>25</v>
      </c>
      <c r="G10" s="96"/>
      <c r="H10" s="117"/>
      <c r="I10" s="118"/>
      <c r="J10" s="118"/>
      <c r="K10" s="118"/>
      <c r="L10" s="118"/>
      <c r="M10" s="118"/>
      <c r="N10" s="114"/>
      <c r="O10" s="117"/>
      <c r="P10" s="119"/>
      <c r="Q10" s="119"/>
      <c r="R10" s="118"/>
      <c r="S10" s="118"/>
      <c r="T10" s="118"/>
      <c r="U10" s="114"/>
      <c r="V10" s="114"/>
    </row>
    <row r="11" spans="1:22" ht="14.5" thickBot="1" x14ac:dyDescent="0.35">
      <c r="A11" s="96"/>
      <c r="B11" s="96"/>
      <c r="C11" s="96"/>
      <c r="D11" s="96"/>
      <c r="E11" s="96"/>
      <c r="F11" s="96"/>
      <c r="G11" s="96"/>
      <c r="H11" s="96"/>
      <c r="I11" s="96"/>
      <c r="J11" s="96"/>
      <c r="K11" s="96"/>
      <c r="L11" s="96"/>
      <c r="M11" s="96"/>
    </row>
    <row r="12" spans="1:22" ht="18.5" thickBot="1" x14ac:dyDescent="0.45">
      <c r="A12" s="96"/>
      <c r="B12" s="26" t="s">
        <v>19</v>
      </c>
      <c r="C12" s="27" t="s">
        <v>20</v>
      </c>
      <c r="D12" s="28" t="s">
        <v>21</v>
      </c>
      <c r="E12" s="29" t="s">
        <v>22</v>
      </c>
      <c r="F12" s="30" t="s">
        <v>23</v>
      </c>
      <c r="G12" s="96"/>
      <c r="H12" s="96"/>
      <c r="I12" s="96"/>
      <c r="J12" s="96"/>
      <c r="K12" s="96"/>
      <c r="L12" s="96"/>
      <c r="M12" s="96"/>
    </row>
    <row r="13" spans="1:22" ht="18.5" thickBot="1" x14ac:dyDescent="0.45">
      <c r="A13" s="96"/>
      <c r="B13" s="111" t="s">
        <v>198</v>
      </c>
      <c r="C13" s="111" t="s">
        <v>199</v>
      </c>
      <c r="D13" s="111" t="s">
        <v>200</v>
      </c>
      <c r="E13" s="31" t="s">
        <v>24</v>
      </c>
      <c r="F13" s="31">
        <v>25</v>
      </c>
      <c r="G13" s="96"/>
      <c r="H13" s="96"/>
      <c r="I13" s="96"/>
      <c r="J13" s="96"/>
      <c r="K13" s="96"/>
      <c r="L13" s="96"/>
      <c r="M13" s="96"/>
    </row>
    <row r="14" spans="1:22" ht="25" x14ac:dyDescent="0.5">
      <c r="A14" s="32" t="s">
        <v>25</v>
      </c>
      <c r="B14" s="32" t="s">
        <v>26</v>
      </c>
      <c r="C14" s="32" t="s">
        <v>27</v>
      </c>
      <c r="D14" s="32" t="s">
        <v>28</v>
      </c>
      <c r="E14" s="32" t="s">
        <v>29</v>
      </c>
      <c r="F14" s="32" t="s">
        <v>30</v>
      </c>
      <c r="G14" s="96"/>
      <c r="H14" s="96"/>
      <c r="I14" s="96"/>
      <c r="J14" s="96"/>
      <c r="K14" s="96"/>
      <c r="L14" s="96"/>
      <c r="M14" s="96"/>
    </row>
    <row r="15" spans="1:22" ht="14.5" customHeight="1" x14ac:dyDescent="0.3">
      <c r="A15" s="96"/>
      <c r="B15" s="96"/>
      <c r="C15" s="96"/>
      <c r="D15" s="96"/>
      <c r="E15" s="96"/>
      <c r="F15" s="96"/>
      <c r="G15" s="96"/>
      <c r="H15" s="96"/>
      <c r="I15" s="96"/>
      <c r="J15" s="96"/>
      <c r="K15" s="96"/>
      <c r="L15" s="96"/>
      <c r="M15" s="96"/>
    </row>
    <row r="16" spans="1:22" x14ac:dyDescent="0.3">
      <c r="A16" s="96"/>
      <c r="B16" s="96"/>
      <c r="C16" s="96"/>
      <c r="D16" s="96"/>
      <c r="E16" s="96"/>
      <c r="F16" s="96"/>
      <c r="G16" s="96"/>
      <c r="H16" s="96"/>
      <c r="I16" s="96"/>
      <c r="J16" s="96"/>
      <c r="K16" s="96"/>
      <c r="L16" s="96"/>
      <c r="M16" s="96"/>
    </row>
    <row r="17" spans="1:13" x14ac:dyDescent="0.3">
      <c r="A17" s="96"/>
      <c r="B17" s="96"/>
      <c r="C17" s="96"/>
      <c r="D17" s="96"/>
      <c r="E17" s="96"/>
      <c r="F17" s="96"/>
      <c r="G17" s="96"/>
      <c r="H17" s="96"/>
      <c r="I17" s="96"/>
      <c r="J17" s="96"/>
      <c r="K17" s="96"/>
      <c r="L17" s="96"/>
      <c r="M17" s="96"/>
    </row>
    <row r="18" spans="1:13" ht="32.5" x14ac:dyDescent="0.65">
      <c r="A18" s="95" t="s">
        <v>31</v>
      </c>
      <c r="B18" s="95"/>
      <c r="C18" s="96"/>
      <c r="D18" s="96"/>
      <c r="E18" s="96"/>
      <c r="F18" s="96"/>
      <c r="G18" s="96"/>
      <c r="H18" s="95"/>
      <c r="I18" s="96"/>
      <c r="J18" s="96"/>
      <c r="K18" s="96"/>
      <c r="L18" s="96"/>
      <c r="M18" s="96"/>
    </row>
    <row r="19" spans="1:13" x14ac:dyDescent="0.3">
      <c r="A19" s="96"/>
      <c r="B19" s="96"/>
      <c r="C19" s="96"/>
      <c r="D19" s="96"/>
      <c r="E19" s="96"/>
      <c r="F19" s="96"/>
      <c r="G19" s="96"/>
      <c r="H19" s="96"/>
      <c r="I19" s="96"/>
      <c r="J19" s="96"/>
      <c r="K19" s="96"/>
      <c r="L19" s="96"/>
      <c r="M19" s="96"/>
    </row>
    <row r="20" spans="1:13" ht="15" customHeight="1" x14ac:dyDescent="0.4">
      <c r="A20" s="217" t="s">
        <v>32</v>
      </c>
      <c r="B20" s="220" t="s">
        <v>33</v>
      </c>
      <c r="C20" s="220"/>
      <c r="D20" s="220"/>
      <c r="E20" s="220"/>
      <c r="F20" s="221"/>
      <c r="G20" s="96"/>
      <c r="H20" s="222" t="s">
        <v>34</v>
      </c>
      <c r="I20" s="223" t="s">
        <v>34</v>
      </c>
      <c r="J20" s="223"/>
      <c r="K20" s="223"/>
      <c r="L20" s="223"/>
      <c r="M20" s="223"/>
    </row>
    <row r="21" spans="1:13" ht="20" x14ac:dyDescent="0.4">
      <c r="A21" s="218"/>
      <c r="B21" s="33">
        <v>1</v>
      </c>
      <c r="C21" s="34">
        <v>2</v>
      </c>
      <c r="D21" s="35">
        <v>3</v>
      </c>
      <c r="E21" s="36">
        <v>4</v>
      </c>
      <c r="F21" s="37">
        <v>5</v>
      </c>
      <c r="G21" s="96"/>
      <c r="H21" s="222"/>
      <c r="I21" s="97" t="s">
        <v>34</v>
      </c>
      <c r="J21" s="97" t="s">
        <v>34</v>
      </c>
      <c r="K21" s="97" t="s">
        <v>34</v>
      </c>
      <c r="L21" s="97" t="s">
        <v>34</v>
      </c>
      <c r="M21" s="97" t="s">
        <v>34</v>
      </c>
    </row>
    <row r="22" spans="1:13" ht="30.75" customHeight="1" x14ac:dyDescent="0.4">
      <c r="A22" s="219"/>
      <c r="B22" s="33" t="s">
        <v>35</v>
      </c>
      <c r="C22" s="34" t="s">
        <v>36</v>
      </c>
      <c r="D22" s="35" t="s">
        <v>37</v>
      </c>
      <c r="E22" s="36" t="s">
        <v>38</v>
      </c>
      <c r="F22" s="37" t="s">
        <v>39</v>
      </c>
      <c r="G22" s="96"/>
      <c r="H22" s="97" t="s">
        <v>34</v>
      </c>
      <c r="I22" s="97" t="s">
        <v>34</v>
      </c>
      <c r="J22" s="97" t="s">
        <v>34</v>
      </c>
      <c r="K22" s="97" t="s">
        <v>34</v>
      </c>
      <c r="L22" s="97" t="s">
        <v>34</v>
      </c>
      <c r="M22" s="97" t="s">
        <v>34</v>
      </c>
    </row>
    <row r="23" spans="1:13" ht="342.5" x14ac:dyDescent="0.5">
      <c r="A23" s="38" t="s">
        <v>40</v>
      </c>
      <c r="B23" s="39" t="s">
        <v>41</v>
      </c>
      <c r="C23" s="39" t="s">
        <v>42</v>
      </c>
      <c r="D23" s="39" t="s">
        <v>43</v>
      </c>
      <c r="E23" s="39" t="s">
        <v>44</v>
      </c>
      <c r="F23" s="39" t="s">
        <v>45</v>
      </c>
      <c r="G23" s="96"/>
      <c r="H23" s="40" t="s">
        <v>34</v>
      </c>
      <c r="I23" s="41" t="s">
        <v>34</v>
      </c>
      <c r="J23" s="41" t="s">
        <v>34</v>
      </c>
      <c r="K23" s="41" t="s">
        <v>34</v>
      </c>
      <c r="L23" s="41" t="s">
        <v>34</v>
      </c>
      <c r="M23" s="41" t="s">
        <v>34</v>
      </c>
    </row>
    <row r="24" spans="1:13" ht="409.5" x14ac:dyDescent="0.35">
      <c r="A24" s="38" t="s">
        <v>46</v>
      </c>
      <c r="B24" s="39" t="s">
        <v>47</v>
      </c>
      <c r="C24" s="39" t="s">
        <v>48</v>
      </c>
      <c r="D24" s="39" t="s">
        <v>49</v>
      </c>
      <c r="E24" s="39" t="s">
        <v>50</v>
      </c>
      <c r="F24" s="39" t="s">
        <v>51</v>
      </c>
      <c r="G24" s="96"/>
      <c r="H24" s="96"/>
      <c r="I24" s="96"/>
      <c r="J24" s="96"/>
      <c r="K24" s="96"/>
      <c r="L24" s="96"/>
      <c r="M24" s="96"/>
    </row>
    <row r="25" spans="1:13" ht="341" x14ac:dyDescent="0.35">
      <c r="A25" s="38" t="s">
        <v>52</v>
      </c>
      <c r="B25" s="39" t="s">
        <v>53</v>
      </c>
      <c r="C25" s="39" t="s">
        <v>54</v>
      </c>
      <c r="D25" s="39" t="s">
        <v>55</v>
      </c>
      <c r="E25" s="39" t="s">
        <v>56</v>
      </c>
      <c r="F25" s="39" t="s">
        <v>57</v>
      </c>
      <c r="G25" s="96"/>
      <c r="H25" s="96"/>
      <c r="I25" s="96"/>
      <c r="J25" s="96"/>
      <c r="K25" s="96"/>
      <c r="L25" s="96"/>
      <c r="M25" s="96"/>
    </row>
    <row r="26" spans="1:13" ht="263.5" x14ac:dyDescent="0.35">
      <c r="A26" s="38" t="s">
        <v>58</v>
      </c>
      <c r="B26" s="39" t="s">
        <v>59</v>
      </c>
      <c r="C26" s="39" t="s">
        <v>60</v>
      </c>
      <c r="D26" s="39" t="s">
        <v>61</v>
      </c>
      <c r="E26" s="39" t="s">
        <v>62</v>
      </c>
      <c r="F26" s="39" t="s">
        <v>63</v>
      </c>
      <c r="G26" s="96"/>
      <c r="H26" s="96"/>
      <c r="I26" s="96"/>
      <c r="J26" s="96"/>
      <c r="K26" s="96"/>
      <c r="L26" s="96"/>
      <c r="M26" s="96"/>
    </row>
    <row r="27" spans="1:13" ht="248" x14ac:dyDescent="0.35">
      <c r="A27" s="38" t="s">
        <v>64</v>
      </c>
      <c r="B27" s="39" t="s">
        <v>65</v>
      </c>
      <c r="C27" s="39" t="s">
        <v>66</v>
      </c>
      <c r="D27" s="39" t="s">
        <v>67</v>
      </c>
      <c r="E27" s="39" t="s">
        <v>68</v>
      </c>
      <c r="F27" s="39" t="s">
        <v>69</v>
      </c>
      <c r="G27" s="96"/>
      <c r="H27" s="96"/>
      <c r="I27" s="96"/>
      <c r="J27" s="96"/>
      <c r="K27" s="96"/>
      <c r="L27" s="96"/>
      <c r="M27" s="96"/>
    </row>
    <row r="28" spans="1:13" ht="170.5" x14ac:dyDescent="0.35">
      <c r="A28" s="38" t="s">
        <v>70</v>
      </c>
      <c r="B28" s="39" t="s">
        <v>71</v>
      </c>
      <c r="C28" s="39" t="s">
        <v>72</v>
      </c>
      <c r="D28" s="39" t="s">
        <v>73</v>
      </c>
      <c r="E28" s="39" t="s">
        <v>74</v>
      </c>
      <c r="F28" s="39" t="s">
        <v>75</v>
      </c>
      <c r="G28" s="96"/>
      <c r="H28" s="96"/>
      <c r="I28" s="96"/>
      <c r="J28" s="96"/>
      <c r="K28" s="96"/>
      <c r="L28" s="96"/>
      <c r="M28" s="96"/>
    </row>
    <row r="29" spans="1:13" ht="294.5" x14ac:dyDescent="0.35">
      <c r="A29" s="38" t="s">
        <v>76</v>
      </c>
      <c r="B29" s="39" t="s">
        <v>77</v>
      </c>
      <c r="C29" s="39" t="s">
        <v>78</v>
      </c>
      <c r="D29" s="39" t="s">
        <v>79</v>
      </c>
      <c r="E29" s="39" t="s">
        <v>80</v>
      </c>
      <c r="F29" s="39" t="s">
        <v>81</v>
      </c>
      <c r="G29" s="96"/>
      <c r="H29" s="96"/>
      <c r="I29" s="96"/>
      <c r="J29" s="96"/>
      <c r="K29" s="96"/>
      <c r="L29" s="96"/>
      <c r="M29" s="96"/>
    </row>
    <row r="30" spans="1:13" ht="108.5" x14ac:dyDescent="0.35">
      <c r="A30" s="38" t="s">
        <v>82</v>
      </c>
      <c r="B30" s="39" t="s">
        <v>83</v>
      </c>
      <c r="C30" s="39" t="s">
        <v>84</v>
      </c>
      <c r="D30" s="39" t="s">
        <v>85</v>
      </c>
      <c r="E30" s="39" t="s">
        <v>86</v>
      </c>
      <c r="F30" s="39" t="s">
        <v>87</v>
      </c>
      <c r="G30" s="96"/>
      <c r="H30" s="96"/>
      <c r="I30" s="96"/>
      <c r="J30" s="96"/>
      <c r="K30" s="96"/>
      <c r="L30" s="96"/>
      <c r="M30" s="96"/>
    </row>
    <row r="31" spans="1:13" x14ac:dyDescent="0.3">
      <c r="A31" s="96"/>
      <c r="B31" s="96"/>
      <c r="C31" s="96"/>
      <c r="D31" s="96"/>
      <c r="E31" s="96"/>
      <c r="F31" s="96"/>
      <c r="G31" s="96"/>
      <c r="H31" s="96"/>
      <c r="I31" s="96"/>
      <c r="J31" s="96"/>
      <c r="K31" s="96"/>
      <c r="L31" s="96"/>
      <c r="M31" s="96"/>
    </row>
    <row r="32" spans="1:13" ht="30" customHeight="1" x14ac:dyDescent="0.65">
      <c r="A32" s="224" t="s">
        <v>88</v>
      </c>
      <c r="B32" s="224"/>
      <c r="C32" s="224"/>
      <c r="D32" s="224"/>
      <c r="E32" s="96"/>
      <c r="F32" s="96"/>
      <c r="G32" s="96"/>
      <c r="H32" s="96"/>
      <c r="I32" s="96"/>
      <c r="J32" s="96"/>
      <c r="K32" s="96"/>
      <c r="L32" s="96"/>
      <c r="M32" s="96"/>
    </row>
    <row r="33" spans="1:13" ht="20" x14ac:dyDescent="0.4">
      <c r="A33" s="225" t="s">
        <v>34</v>
      </c>
      <c r="B33" s="220" t="s">
        <v>89</v>
      </c>
      <c r="C33" s="220"/>
      <c r="D33" s="220"/>
      <c r="E33" s="220"/>
      <c r="F33" s="221"/>
      <c r="G33" s="96"/>
      <c r="H33" s="96"/>
      <c r="I33" s="96"/>
      <c r="J33" s="96"/>
      <c r="K33" s="96"/>
      <c r="L33" s="96"/>
      <c r="M33" s="96"/>
    </row>
    <row r="34" spans="1:13" ht="20" x14ac:dyDescent="0.4">
      <c r="A34" s="226"/>
      <c r="B34" s="33">
        <v>1</v>
      </c>
      <c r="C34" s="34">
        <v>2</v>
      </c>
      <c r="D34" s="35">
        <v>3</v>
      </c>
      <c r="E34" s="36">
        <v>4</v>
      </c>
      <c r="F34" s="37">
        <v>5</v>
      </c>
      <c r="G34" s="96"/>
      <c r="H34" s="96"/>
      <c r="I34" s="96"/>
      <c r="J34" s="96"/>
      <c r="K34" s="96"/>
      <c r="L34" s="96"/>
      <c r="M34" s="96"/>
    </row>
    <row r="35" spans="1:13" ht="20" x14ac:dyDescent="0.4">
      <c r="A35" s="42" t="s">
        <v>90</v>
      </c>
      <c r="B35" s="33" t="s">
        <v>35</v>
      </c>
      <c r="C35" s="34" t="s">
        <v>36</v>
      </c>
      <c r="D35" s="35" t="s">
        <v>37</v>
      </c>
      <c r="E35" s="36" t="s">
        <v>38</v>
      </c>
      <c r="F35" s="37" t="s">
        <v>39</v>
      </c>
      <c r="G35" s="96"/>
      <c r="H35" s="96"/>
      <c r="I35" s="96"/>
      <c r="J35" s="96"/>
      <c r="K35" s="96"/>
      <c r="L35" s="96"/>
      <c r="M35" s="96"/>
    </row>
    <row r="36" spans="1:13" ht="81" customHeight="1" x14ac:dyDescent="0.4">
      <c r="A36" s="43" t="s">
        <v>91</v>
      </c>
      <c r="B36" s="39" t="s">
        <v>92</v>
      </c>
      <c r="C36" s="39" t="s">
        <v>93</v>
      </c>
      <c r="D36" s="39" t="s">
        <v>94</v>
      </c>
      <c r="E36" s="39" t="s">
        <v>95</v>
      </c>
      <c r="F36" s="39" t="s">
        <v>96</v>
      </c>
      <c r="G36" s="96"/>
      <c r="H36" s="96"/>
      <c r="I36" s="96"/>
      <c r="J36" s="96"/>
      <c r="K36" s="96"/>
      <c r="L36" s="96"/>
      <c r="M36" s="96"/>
    </row>
    <row r="37" spans="1:13" x14ac:dyDescent="0.3">
      <c r="A37" s="96"/>
      <c r="B37" s="96"/>
      <c r="C37" s="96"/>
      <c r="D37" s="96"/>
      <c r="E37" s="96"/>
      <c r="F37" s="96"/>
      <c r="G37" s="96"/>
      <c r="H37" s="96"/>
      <c r="I37" s="96"/>
      <c r="J37" s="96"/>
      <c r="K37" s="96"/>
      <c r="L37" s="96"/>
      <c r="M37" s="96"/>
    </row>
    <row r="38" spans="1:13" x14ac:dyDescent="0.3">
      <c r="A38" s="96"/>
      <c r="B38" s="96"/>
      <c r="C38" s="96"/>
      <c r="D38" s="96"/>
      <c r="E38" s="96"/>
      <c r="F38" s="96"/>
      <c r="G38" s="96"/>
      <c r="H38" s="96"/>
      <c r="I38" s="96"/>
      <c r="J38" s="96"/>
      <c r="K38" s="96"/>
      <c r="L38" s="96"/>
      <c r="M38" s="96"/>
    </row>
    <row r="39" spans="1:13" x14ac:dyDescent="0.3">
      <c r="A39" s="96"/>
      <c r="B39" s="96"/>
      <c r="C39" s="96"/>
      <c r="D39" s="96"/>
      <c r="E39" s="96"/>
      <c r="F39" s="96"/>
      <c r="G39" s="96"/>
      <c r="H39" s="96"/>
      <c r="I39" s="96"/>
      <c r="J39" s="96"/>
      <c r="K39" s="96"/>
      <c r="L39" s="96"/>
      <c r="M39" s="96"/>
    </row>
    <row r="40" spans="1:13" x14ac:dyDescent="0.3">
      <c r="A40" s="96"/>
      <c r="B40" s="96"/>
      <c r="C40" s="96"/>
      <c r="D40" s="96"/>
      <c r="E40" s="96"/>
      <c r="F40" s="96"/>
      <c r="G40" s="96"/>
      <c r="H40" s="96"/>
      <c r="I40" s="96"/>
      <c r="J40" s="96"/>
      <c r="K40" s="96"/>
      <c r="L40" s="96"/>
      <c r="M40" s="96"/>
    </row>
    <row r="41" spans="1:13" ht="65" x14ac:dyDescent="0.65">
      <c r="A41" s="95" t="s">
        <v>97</v>
      </c>
      <c r="B41" s="96"/>
      <c r="C41" s="96"/>
      <c r="D41" s="96"/>
      <c r="E41" s="96"/>
      <c r="F41" s="44" t="s">
        <v>32</v>
      </c>
      <c r="G41" s="96"/>
      <c r="H41" s="96"/>
      <c r="I41" s="96"/>
      <c r="J41" s="96"/>
      <c r="K41" s="96"/>
      <c r="L41" s="96"/>
      <c r="M41" s="96"/>
    </row>
    <row r="42" spans="1:13" x14ac:dyDescent="0.3">
      <c r="A42" s="96"/>
      <c r="B42" s="96"/>
      <c r="C42" s="96"/>
      <c r="D42" s="96"/>
      <c r="E42" s="96"/>
      <c r="F42" s="96"/>
      <c r="G42" s="96"/>
      <c r="H42" s="96"/>
      <c r="I42" s="96"/>
      <c r="J42" s="96"/>
      <c r="K42" s="96"/>
      <c r="L42" s="96"/>
      <c r="M42" s="96"/>
    </row>
    <row r="43" spans="1:13" ht="14.5" x14ac:dyDescent="0.35">
      <c r="A43" s="96"/>
      <c r="B43" s="227"/>
      <c r="C43" s="96"/>
      <c r="D43" s="45"/>
      <c r="E43" s="227"/>
      <c r="F43" s="227"/>
      <c r="G43" s="227"/>
      <c r="H43" s="227"/>
      <c r="I43" s="227"/>
      <c r="J43" s="96"/>
      <c r="K43" s="96"/>
      <c r="L43" s="96"/>
      <c r="M43" s="96"/>
    </row>
    <row r="44" spans="1:13" ht="14.5" x14ac:dyDescent="0.35">
      <c r="A44" s="45"/>
      <c r="B44" s="227"/>
      <c r="C44" s="45"/>
      <c r="D44" s="96"/>
      <c r="E44" s="227"/>
      <c r="F44" s="227"/>
      <c r="G44" s="227"/>
      <c r="H44" s="227"/>
      <c r="I44" s="227"/>
      <c r="J44" s="96"/>
      <c r="K44" s="96"/>
      <c r="L44" s="96"/>
      <c r="M44" s="96"/>
    </row>
    <row r="45" spans="1:13" x14ac:dyDescent="0.3">
      <c r="A45" s="96"/>
      <c r="B45" s="227"/>
      <c r="C45" s="96"/>
      <c r="D45" s="96"/>
      <c r="E45" s="227"/>
      <c r="F45" s="227"/>
      <c r="G45" s="227"/>
      <c r="H45" s="227"/>
      <c r="I45" s="227"/>
      <c r="J45" s="96"/>
      <c r="K45" s="96"/>
      <c r="L45" s="96"/>
      <c r="M45" s="96"/>
    </row>
    <row r="46" spans="1:13" x14ac:dyDescent="0.3">
      <c r="A46" s="96"/>
      <c r="B46" s="227"/>
      <c r="C46" s="96"/>
      <c r="D46" s="96"/>
      <c r="E46" s="227"/>
      <c r="F46" s="227"/>
      <c r="G46" s="227"/>
      <c r="H46" s="227"/>
      <c r="I46" s="227"/>
      <c r="J46" s="96"/>
      <c r="K46" s="96"/>
      <c r="L46" s="96"/>
      <c r="M46" s="96"/>
    </row>
    <row r="47" spans="1:13" x14ac:dyDescent="0.3">
      <c r="A47" s="96"/>
      <c r="B47" s="227"/>
      <c r="C47" s="96"/>
      <c r="D47" s="96"/>
      <c r="E47" s="227"/>
      <c r="F47" s="227"/>
      <c r="G47" s="227"/>
      <c r="H47" s="227"/>
      <c r="I47" s="227"/>
      <c r="J47" s="96"/>
      <c r="K47" s="96"/>
      <c r="L47" s="96"/>
      <c r="M47" s="96"/>
    </row>
    <row r="48" spans="1:13" x14ac:dyDescent="0.3">
      <c r="A48" s="96"/>
      <c r="B48" s="227"/>
      <c r="C48" s="96"/>
      <c r="D48" s="96"/>
      <c r="E48" s="227"/>
      <c r="F48" s="227"/>
      <c r="G48" s="227"/>
      <c r="H48" s="227"/>
      <c r="I48" s="227"/>
      <c r="J48" s="96"/>
      <c r="K48" s="96"/>
      <c r="L48" s="96"/>
      <c r="M48" s="96"/>
    </row>
    <row r="49" spans="1:13" x14ac:dyDescent="0.3">
      <c r="A49" s="96"/>
      <c r="B49" s="227"/>
      <c r="C49" s="96"/>
      <c r="D49" s="96"/>
      <c r="E49" s="227"/>
      <c r="F49" s="227"/>
      <c r="G49" s="227"/>
      <c r="H49" s="227"/>
      <c r="I49" s="227"/>
      <c r="J49" s="96"/>
      <c r="K49" s="96"/>
      <c r="L49" s="96"/>
      <c r="M49" s="96"/>
    </row>
    <row r="50" spans="1:13" x14ac:dyDescent="0.3">
      <c r="A50" s="96"/>
      <c r="B50" s="227"/>
      <c r="C50" s="96"/>
      <c r="D50" s="96"/>
      <c r="E50" s="227"/>
      <c r="F50" s="227"/>
      <c r="G50" s="227"/>
      <c r="H50" s="227"/>
      <c r="I50" s="227"/>
      <c r="J50" s="96"/>
      <c r="K50" s="96"/>
      <c r="L50" s="96"/>
      <c r="M50" s="96"/>
    </row>
    <row r="51" spans="1:13" x14ac:dyDescent="0.3">
      <c r="A51" s="96"/>
      <c r="B51" s="227"/>
      <c r="C51" s="96"/>
      <c r="D51" s="96"/>
      <c r="E51" s="227"/>
      <c r="F51" s="227"/>
      <c r="G51" s="227"/>
      <c r="H51" s="227"/>
      <c r="I51" s="227"/>
      <c r="J51" s="96"/>
      <c r="K51" s="96"/>
      <c r="L51" s="96"/>
      <c r="M51" s="96"/>
    </row>
    <row r="52" spans="1:13" x14ac:dyDescent="0.3">
      <c r="A52" s="96"/>
      <c r="B52" s="227"/>
      <c r="C52" s="96"/>
      <c r="D52" s="96"/>
      <c r="E52" s="227"/>
      <c r="F52" s="227"/>
      <c r="G52" s="227"/>
      <c r="H52" s="227"/>
      <c r="I52" s="227"/>
      <c r="J52" s="96"/>
      <c r="K52" s="96"/>
      <c r="L52" s="96"/>
      <c r="M52" s="96"/>
    </row>
    <row r="53" spans="1:13" x14ac:dyDescent="0.3">
      <c r="A53" s="96"/>
      <c r="B53" s="227"/>
      <c r="C53" s="96"/>
      <c r="D53" s="96"/>
      <c r="E53" s="96"/>
      <c r="F53" s="96"/>
      <c r="G53" s="96"/>
      <c r="H53" s="96"/>
      <c r="I53" s="96"/>
      <c r="J53" s="96"/>
      <c r="K53" s="96"/>
      <c r="L53" s="96"/>
      <c r="M53" s="96"/>
    </row>
    <row r="54" spans="1:13" x14ac:dyDescent="0.3">
      <c r="A54" s="96"/>
      <c r="B54" s="227"/>
      <c r="C54" s="96"/>
      <c r="D54" s="96"/>
      <c r="E54" s="96"/>
      <c r="F54" s="96"/>
      <c r="G54" s="96"/>
      <c r="H54" s="96"/>
      <c r="I54" s="96"/>
      <c r="J54" s="96"/>
      <c r="K54" s="96"/>
      <c r="L54" s="96"/>
      <c r="M54" s="96"/>
    </row>
    <row r="55" spans="1:13" x14ac:dyDescent="0.3">
      <c r="A55" s="96"/>
      <c r="B55" s="227"/>
      <c r="C55" s="96"/>
      <c r="D55" s="96"/>
      <c r="E55" s="96"/>
      <c r="F55" s="96"/>
      <c r="G55" s="96"/>
      <c r="H55" s="96"/>
      <c r="I55" s="96"/>
      <c r="J55" s="96"/>
      <c r="K55" s="96"/>
      <c r="L55" s="96"/>
      <c r="M55" s="96"/>
    </row>
    <row r="56" spans="1:13" x14ac:dyDescent="0.3">
      <c r="A56" s="96"/>
      <c r="B56" s="227"/>
      <c r="C56" s="96"/>
      <c r="D56" s="96"/>
      <c r="E56" s="96"/>
      <c r="F56" s="96"/>
      <c r="G56" s="96"/>
      <c r="H56" s="96"/>
      <c r="I56" s="96"/>
      <c r="J56" s="96"/>
      <c r="K56" s="96"/>
      <c r="L56" s="96"/>
      <c r="M56" s="96"/>
    </row>
    <row r="57" spans="1:13" ht="90" x14ac:dyDescent="0.4">
      <c r="A57" s="46" t="s">
        <v>98</v>
      </c>
      <c r="B57" s="46" t="s">
        <v>99</v>
      </c>
      <c r="C57" s="46" t="s">
        <v>100</v>
      </c>
      <c r="D57" s="46" t="s">
        <v>101</v>
      </c>
      <c r="E57" s="96"/>
      <c r="F57" s="96"/>
      <c r="G57" s="96"/>
      <c r="H57" s="96"/>
      <c r="I57" s="96"/>
      <c r="J57" s="96"/>
      <c r="K57" s="96"/>
      <c r="L57" s="96"/>
      <c r="M57" s="96"/>
    </row>
    <row r="58" spans="1:13" x14ac:dyDescent="0.3">
      <c r="A58" s="96"/>
      <c r="B58" s="96"/>
      <c r="C58" s="96"/>
      <c r="D58" s="96"/>
      <c r="E58" s="96"/>
      <c r="F58" s="96"/>
      <c r="G58" s="96"/>
      <c r="H58" s="96"/>
      <c r="I58" s="96"/>
      <c r="J58" s="96"/>
      <c r="K58" s="96"/>
      <c r="L58" s="96"/>
      <c r="M58" s="96"/>
    </row>
    <row r="59" spans="1:13" x14ac:dyDescent="0.3">
      <c r="A59" s="96"/>
      <c r="B59" s="96"/>
      <c r="C59" s="96"/>
      <c r="D59" s="96"/>
      <c r="E59" s="96"/>
      <c r="F59" s="96"/>
      <c r="G59" s="96"/>
      <c r="H59" s="96"/>
      <c r="I59" s="96"/>
      <c r="J59" s="96"/>
      <c r="K59" s="96"/>
      <c r="L59" s="96"/>
      <c r="M59" s="96"/>
    </row>
    <row r="60" spans="1:13" x14ac:dyDescent="0.3">
      <c r="A60" s="96"/>
      <c r="B60" s="96"/>
      <c r="C60" s="96"/>
      <c r="D60" s="96"/>
      <c r="E60" s="96"/>
      <c r="F60" s="96"/>
      <c r="G60" s="96"/>
      <c r="H60" s="96"/>
      <c r="I60" s="96"/>
      <c r="J60" s="96"/>
      <c r="K60" s="96"/>
      <c r="L60" s="96"/>
      <c r="M60" s="96"/>
    </row>
    <row r="61" spans="1:13" x14ac:dyDescent="0.3">
      <c r="A61" s="47" t="s">
        <v>102</v>
      </c>
      <c r="B61" s="96"/>
      <c r="C61" s="96"/>
      <c r="D61" s="96"/>
      <c r="E61" s="96"/>
      <c r="F61" s="96"/>
      <c r="G61" s="96"/>
      <c r="H61" s="96"/>
      <c r="I61" s="96"/>
      <c r="J61" s="96"/>
      <c r="K61" s="96"/>
      <c r="L61" s="96"/>
      <c r="M61" s="96"/>
    </row>
    <row r="62" spans="1:13" ht="15.5" x14ac:dyDescent="0.35">
      <c r="A62" s="48" t="s">
        <v>103</v>
      </c>
      <c r="B62" s="49" t="s">
        <v>104</v>
      </c>
      <c r="C62" s="96"/>
      <c r="D62" s="96"/>
      <c r="E62" s="96"/>
      <c r="F62" s="96"/>
      <c r="G62" s="96"/>
      <c r="H62" s="96"/>
      <c r="I62" s="96"/>
      <c r="J62" s="96"/>
      <c r="K62" s="96"/>
      <c r="L62" s="96"/>
      <c r="M62" s="96"/>
    </row>
    <row r="63" spans="1:13" ht="15.5" x14ac:dyDescent="0.35">
      <c r="A63" s="50" t="s">
        <v>105</v>
      </c>
      <c r="B63" s="51" t="s">
        <v>106</v>
      </c>
      <c r="C63" s="96"/>
      <c r="D63" s="96"/>
      <c r="E63" s="96"/>
      <c r="F63" s="96"/>
      <c r="G63" s="96"/>
      <c r="H63" s="96"/>
      <c r="I63" s="96"/>
      <c r="J63" s="96"/>
      <c r="K63" s="96"/>
      <c r="L63" s="96"/>
      <c r="M63" s="96"/>
    </row>
    <row r="64" spans="1:13" ht="15.5" x14ac:dyDescent="0.35">
      <c r="A64" s="52" t="s">
        <v>107</v>
      </c>
      <c r="B64" s="51" t="s">
        <v>108</v>
      </c>
      <c r="C64" s="96"/>
      <c r="D64" s="96"/>
      <c r="E64" s="96"/>
      <c r="F64" s="96"/>
      <c r="G64" s="96"/>
      <c r="H64" s="96"/>
      <c r="I64" s="96"/>
      <c r="J64" s="96"/>
      <c r="K64" s="96"/>
      <c r="L64" s="96"/>
      <c r="M64" s="96"/>
    </row>
    <row r="65" spans="1:13" ht="155" x14ac:dyDescent="0.35">
      <c r="A65" s="50" t="s">
        <v>109</v>
      </c>
      <c r="B65" s="53" t="s">
        <v>110</v>
      </c>
      <c r="C65" s="96"/>
      <c r="D65" s="96"/>
      <c r="E65" s="96"/>
      <c r="F65" s="96"/>
      <c r="G65" s="96"/>
      <c r="H65" s="96"/>
      <c r="I65" s="96"/>
      <c r="J65" s="96"/>
      <c r="K65" s="96"/>
      <c r="L65" s="96"/>
      <c r="M65" s="96"/>
    </row>
    <row r="66" spans="1:13" ht="62" x14ac:dyDescent="0.35">
      <c r="A66" s="50" t="s">
        <v>111</v>
      </c>
      <c r="B66" s="53" t="s">
        <v>112</v>
      </c>
      <c r="C66" s="96"/>
      <c r="D66" s="96"/>
      <c r="E66" s="96"/>
      <c r="F66" s="96"/>
      <c r="G66" s="96"/>
      <c r="H66" s="96"/>
      <c r="I66" s="96"/>
      <c r="J66" s="96"/>
      <c r="K66" s="96"/>
      <c r="L66" s="96"/>
      <c r="M66" s="96"/>
    </row>
    <row r="67" spans="1:13" ht="124" x14ac:dyDescent="0.35">
      <c r="A67" s="50" t="s">
        <v>113</v>
      </c>
      <c r="B67" s="53" t="s">
        <v>114</v>
      </c>
      <c r="C67" s="96"/>
      <c r="D67" s="96"/>
      <c r="E67" s="96"/>
      <c r="F67" s="96"/>
      <c r="G67" s="96"/>
      <c r="H67" s="96"/>
      <c r="I67" s="96"/>
      <c r="J67" s="96"/>
      <c r="K67" s="96"/>
      <c r="L67" s="96"/>
      <c r="M67" s="96"/>
    </row>
    <row r="68" spans="1:13" ht="15.5" x14ac:dyDescent="0.35">
      <c r="A68" s="54" t="s">
        <v>115</v>
      </c>
      <c r="B68" s="51" t="s">
        <v>116</v>
      </c>
      <c r="C68" s="96"/>
      <c r="D68" s="96"/>
      <c r="E68" s="96"/>
      <c r="F68" s="96"/>
      <c r="G68" s="96"/>
      <c r="H68" s="96"/>
      <c r="I68" s="96"/>
      <c r="J68" s="96"/>
      <c r="K68" s="96"/>
      <c r="L68" s="96"/>
      <c r="M68" s="96"/>
    </row>
    <row r="69" spans="1:13" ht="15.5" x14ac:dyDescent="0.35">
      <c r="A69" s="54" t="s">
        <v>117</v>
      </c>
      <c r="B69" s="51" t="s">
        <v>118</v>
      </c>
      <c r="C69" s="96"/>
      <c r="D69" s="96"/>
      <c r="E69" s="96"/>
      <c r="F69" s="96"/>
      <c r="G69" s="96"/>
      <c r="H69" s="96"/>
      <c r="I69" s="96"/>
      <c r="J69" s="96"/>
      <c r="K69" s="96"/>
      <c r="L69" s="96"/>
      <c r="M69" s="96"/>
    </row>
    <row r="70" spans="1:13" ht="15.5" x14ac:dyDescent="0.35">
      <c r="A70" s="50" t="s">
        <v>119</v>
      </c>
      <c r="B70" s="51" t="s">
        <v>120</v>
      </c>
      <c r="C70" s="96"/>
      <c r="D70" s="96"/>
      <c r="E70" s="96"/>
      <c r="F70" s="96"/>
      <c r="G70" s="96"/>
      <c r="H70" s="96"/>
      <c r="I70" s="96"/>
      <c r="J70" s="96"/>
      <c r="K70" s="96"/>
      <c r="L70" s="96"/>
      <c r="M70" s="96"/>
    </row>
  </sheetData>
  <mergeCells count="28">
    <mergeCell ref="A32:D32"/>
    <mergeCell ref="A33:A34"/>
    <mergeCell ref="B33:F33"/>
    <mergeCell ref="B43:B56"/>
    <mergeCell ref="E43:I52"/>
    <mergeCell ref="A20:A22"/>
    <mergeCell ref="B20:F20"/>
    <mergeCell ref="H20:H21"/>
    <mergeCell ref="I20:M20"/>
    <mergeCell ref="J4:J5"/>
    <mergeCell ref="K4:K5"/>
    <mergeCell ref="L4:L5"/>
    <mergeCell ref="M4:M5"/>
    <mergeCell ref="A1:D1"/>
    <mergeCell ref="B3:F3"/>
    <mergeCell ref="I3:M3"/>
    <mergeCell ref="P3:T3"/>
    <mergeCell ref="B4:B5"/>
    <mergeCell ref="C4:C5"/>
    <mergeCell ref="D4:D5"/>
    <mergeCell ref="E4:E5"/>
    <mergeCell ref="F4:F5"/>
    <mergeCell ref="I4:I5"/>
    <mergeCell ref="R4:R5"/>
    <mergeCell ref="S4:S5"/>
    <mergeCell ref="T4:T5"/>
    <mergeCell ref="P4:P5"/>
    <mergeCell ref="Q4:Q5"/>
  </mergeCells>
  <pageMargins left="0.7" right="0.7" top="0.75" bottom="0.75" header="0.3" footer="0.3"/>
  <pageSetup paperSize="8" scale="21"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4112-ADE9-462B-82A6-F14A41A354EE}">
  <dimension ref="A1:F32"/>
  <sheetViews>
    <sheetView topLeftCell="A18" zoomScale="70" zoomScaleNormal="70" workbookViewId="0">
      <selection activeCell="G28" sqref="G28"/>
    </sheetView>
  </sheetViews>
  <sheetFormatPr defaultRowHeight="14.5" x14ac:dyDescent="0.35"/>
  <cols>
    <col min="1" max="1" width="40.81640625" customWidth="1"/>
    <col min="2" max="6" width="30.453125" customWidth="1"/>
    <col min="7" max="7" width="14.81640625" customWidth="1"/>
  </cols>
  <sheetData>
    <row r="1" spans="1:6" ht="15.5" x14ac:dyDescent="0.35">
      <c r="A1" s="55" t="s">
        <v>196</v>
      </c>
      <c r="B1" s="55"/>
      <c r="C1" s="55"/>
      <c r="D1" s="55"/>
      <c r="E1" s="55"/>
      <c r="F1" s="55"/>
    </row>
    <row r="2" spans="1:6" ht="16" thickBot="1" x14ac:dyDescent="0.4">
      <c r="A2" s="55"/>
      <c r="B2" s="55"/>
      <c r="C2" s="55"/>
      <c r="D2" s="55"/>
      <c r="E2" s="55"/>
      <c r="F2" s="55"/>
    </row>
    <row r="3" spans="1:6" ht="18.5" thickBot="1" x14ac:dyDescent="0.4">
      <c r="A3" s="56" t="s">
        <v>121</v>
      </c>
      <c r="B3" s="228" t="s">
        <v>7</v>
      </c>
      <c r="C3" s="228"/>
      <c r="D3" s="228"/>
      <c r="E3" s="228"/>
      <c r="F3" s="228"/>
    </row>
    <row r="4" spans="1:6" ht="16" customHeight="1" thickBot="1" x14ac:dyDescent="0.4">
      <c r="A4" s="55"/>
      <c r="B4" s="229" t="s">
        <v>8</v>
      </c>
      <c r="C4" s="229" t="s">
        <v>9</v>
      </c>
      <c r="D4" s="231" t="s">
        <v>10</v>
      </c>
      <c r="E4" s="231" t="s">
        <v>11</v>
      </c>
      <c r="F4" s="231" t="s">
        <v>12</v>
      </c>
    </row>
    <row r="5" spans="1:6" ht="16" thickBot="1" x14ac:dyDescent="0.4">
      <c r="A5" s="98" t="s">
        <v>13</v>
      </c>
      <c r="B5" s="230"/>
      <c r="C5" s="230"/>
      <c r="D5" s="232"/>
      <c r="E5" s="232"/>
      <c r="F5" s="232"/>
    </row>
    <row r="6" spans="1:6" ht="31.5" thickBot="1" x14ac:dyDescent="0.4">
      <c r="A6" s="57" t="s">
        <v>14</v>
      </c>
      <c r="B6" s="120"/>
      <c r="C6" s="58"/>
      <c r="D6" s="58"/>
      <c r="E6" s="59"/>
      <c r="F6" s="59"/>
    </row>
    <row r="7" spans="1:6" ht="31.5" thickBot="1" x14ac:dyDescent="0.4">
      <c r="A7" s="60" t="s">
        <v>15</v>
      </c>
      <c r="B7" s="58" t="s">
        <v>201</v>
      </c>
      <c r="C7" s="59" t="s">
        <v>202</v>
      </c>
      <c r="D7" s="59" t="s">
        <v>203</v>
      </c>
      <c r="E7" s="61" t="s">
        <v>204</v>
      </c>
      <c r="F7" s="61"/>
    </row>
    <row r="8" spans="1:6" ht="31.5" thickBot="1" x14ac:dyDescent="0.4">
      <c r="A8" s="60" t="s">
        <v>16</v>
      </c>
      <c r="B8" s="121">
        <v>3.1</v>
      </c>
      <c r="C8" s="59" t="s">
        <v>205</v>
      </c>
      <c r="D8" s="61" t="s">
        <v>206</v>
      </c>
      <c r="E8" s="61">
        <v>2.13</v>
      </c>
      <c r="F8" s="62" t="s">
        <v>207</v>
      </c>
    </row>
    <row r="9" spans="1:6" ht="31.5" thickBot="1" x14ac:dyDescent="0.4">
      <c r="A9" s="60" t="s">
        <v>17</v>
      </c>
      <c r="B9" s="59"/>
      <c r="C9" s="61"/>
      <c r="D9" s="61">
        <v>3.9</v>
      </c>
      <c r="E9" s="62"/>
      <c r="F9" s="62" t="s">
        <v>208</v>
      </c>
    </row>
    <row r="10" spans="1:6" ht="31.5" thickBot="1" x14ac:dyDescent="0.4">
      <c r="A10" s="60" t="s">
        <v>18</v>
      </c>
      <c r="B10" s="59"/>
      <c r="C10" s="61"/>
      <c r="D10" s="62"/>
      <c r="E10" s="62"/>
      <c r="F10" s="94">
        <v>0.2</v>
      </c>
    </row>
    <row r="12" spans="1:6" ht="15" thickBot="1" x14ac:dyDescent="0.4"/>
    <row r="13" spans="1:6" ht="18.5" thickBot="1" x14ac:dyDescent="0.45">
      <c r="A13" s="63" t="s">
        <v>122</v>
      </c>
      <c r="B13" s="98" t="s">
        <v>7</v>
      </c>
      <c r="C13" s="98"/>
      <c r="D13" s="98"/>
      <c r="E13" s="98"/>
      <c r="F13" s="98"/>
    </row>
    <row r="14" spans="1:6" ht="16" customHeight="1" thickBot="1" x14ac:dyDescent="0.4">
      <c r="A14" s="55"/>
      <c r="B14" s="99" t="s">
        <v>8</v>
      </c>
      <c r="C14" s="99" t="s">
        <v>9</v>
      </c>
      <c r="D14" s="101" t="s">
        <v>10</v>
      </c>
      <c r="E14" s="101" t="s">
        <v>11</v>
      </c>
      <c r="F14" s="101" t="s">
        <v>12</v>
      </c>
    </row>
    <row r="15" spans="1:6" ht="16" thickBot="1" x14ac:dyDescent="0.4">
      <c r="A15" s="98" t="s">
        <v>13</v>
      </c>
      <c r="B15" s="100"/>
      <c r="C15" s="100"/>
      <c r="D15" s="102"/>
      <c r="E15" s="102"/>
      <c r="F15" s="102"/>
    </row>
    <row r="16" spans="1:6" ht="45" customHeight="1" thickBot="1" x14ac:dyDescent="0.4">
      <c r="A16" s="57" t="s">
        <v>14</v>
      </c>
      <c r="B16" s="120"/>
      <c r="C16" s="120"/>
      <c r="D16" s="58"/>
      <c r="E16" s="59"/>
      <c r="F16" s="122"/>
    </row>
    <row r="17" spans="1:6" ht="45" customHeight="1" thickBot="1" x14ac:dyDescent="0.4">
      <c r="A17" s="57" t="s">
        <v>15</v>
      </c>
      <c r="B17" s="120"/>
      <c r="C17" s="59" t="s">
        <v>209</v>
      </c>
      <c r="D17" s="59" t="s">
        <v>210</v>
      </c>
      <c r="E17" s="61"/>
      <c r="F17" s="123"/>
    </row>
    <row r="18" spans="1:6" ht="45" customHeight="1" thickBot="1" x14ac:dyDescent="0.4">
      <c r="A18" s="57" t="s">
        <v>16</v>
      </c>
      <c r="B18" s="120" t="s">
        <v>211</v>
      </c>
      <c r="C18" s="59" t="s">
        <v>212</v>
      </c>
      <c r="D18" s="61" t="s">
        <v>213</v>
      </c>
      <c r="E18" s="61" t="s">
        <v>214</v>
      </c>
      <c r="F18" s="124" t="s">
        <v>215</v>
      </c>
    </row>
    <row r="19" spans="1:6" ht="45" customHeight="1" thickBot="1" x14ac:dyDescent="0.4">
      <c r="A19" s="57" t="s">
        <v>17</v>
      </c>
      <c r="B19" s="122" t="s">
        <v>216</v>
      </c>
      <c r="C19" s="61"/>
      <c r="D19" s="61" t="s">
        <v>217</v>
      </c>
      <c r="E19" s="62" t="s">
        <v>218</v>
      </c>
      <c r="F19" s="124" t="s">
        <v>219</v>
      </c>
    </row>
    <row r="20" spans="1:6" ht="45" customHeight="1" thickBot="1" x14ac:dyDescent="0.4">
      <c r="A20" s="64" t="s">
        <v>18</v>
      </c>
      <c r="B20" s="122"/>
      <c r="C20" s="123"/>
      <c r="D20" s="124"/>
      <c r="E20" s="62"/>
      <c r="F20" s="125"/>
    </row>
    <row r="21" spans="1:6" ht="15.5" x14ac:dyDescent="0.35">
      <c r="A21" s="55"/>
      <c r="B21" s="55"/>
      <c r="C21" s="55"/>
      <c r="D21" s="55"/>
      <c r="E21" s="55"/>
      <c r="F21" s="55"/>
    </row>
    <row r="22" spans="1:6" ht="16" thickBot="1" x14ac:dyDescent="0.4">
      <c r="A22" s="55"/>
      <c r="B22" s="55"/>
      <c r="C22" s="55"/>
      <c r="D22" s="55"/>
      <c r="E22" s="55"/>
      <c r="F22" s="55"/>
    </row>
    <row r="23" spans="1:6" ht="18.649999999999999" customHeight="1" thickBot="1" x14ac:dyDescent="0.45">
      <c r="A23" s="63" t="s">
        <v>123</v>
      </c>
      <c r="B23" s="228" t="s">
        <v>7</v>
      </c>
      <c r="C23" s="228"/>
      <c r="D23" s="228"/>
      <c r="E23" s="228"/>
      <c r="F23" s="228"/>
    </row>
    <row r="24" spans="1:6" ht="16" thickBot="1" x14ac:dyDescent="0.4">
      <c r="A24" s="55"/>
      <c r="B24" s="229" t="s">
        <v>8</v>
      </c>
      <c r="C24" s="229" t="s">
        <v>9</v>
      </c>
      <c r="D24" s="231" t="s">
        <v>10</v>
      </c>
      <c r="E24" s="231" t="s">
        <v>11</v>
      </c>
      <c r="F24" s="231" t="s">
        <v>12</v>
      </c>
    </row>
    <row r="25" spans="1:6" ht="16" thickBot="1" x14ac:dyDescent="0.4">
      <c r="A25" s="98" t="s">
        <v>13</v>
      </c>
      <c r="B25" s="230"/>
      <c r="C25" s="230"/>
      <c r="D25" s="232"/>
      <c r="E25" s="232"/>
      <c r="F25" s="232"/>
    </row>
    <row r="26" spans="1:6" ht="40" customHeight="1" thickBot="1" x14ac:dyDescent="0.4">
      <c r="A26" s="57" t="s">
        <v>14</v>
      </c>
      <c r="B26" s="120"/>
      <c r="C26" s="58"/>
      <c r="D26" s="58"/>
      <c r="E26" s="59"/>
      <c r="F26" s="59"/>
    </row>
    <row r="27" spans="1:6" ht="40" customHeight="1" thickBot="1" x14ac:dyDescent="0.4">
      <c r="A27" s="60" t="s">
        <v>15</v>
      </c>
      <c r="B27" s="58"/>
      <c r="C27" s="59"/>
      <c r="D27" s="59"/>
      <c r="E27" s="61"/>
      <c r="F27" s="61"/>
    </row>
    <row r="28" spans="1:6" ht="40" customHeight="1" thickBot="1" x14ac:dyDescent="0.4">
      <c r="A28" s="60" t="s">
        <v>16</v>
      </c>
      <c r="B28" s="126"/>
      <c r="C28" s="59"/>
      <c r="D28" s="61"/>
      <c r="E28" s="61"/>
      <c r="F28" s="62" t="s">
        <v>220</v>
      </c>
    </row>
    <row r="29" spans="1:6" ht="40" customHeight="1" thickBot="1" x14ac:dyDescent="0.4">
      <c r="A29" s="60" t="s">
        <v>17</v>
      </c>
      <c r="B29" s="59"/>
      <c r="C29" s="61"/>
      <c r="D29" s="61" t="s">
        <v>221</v>
      </c>
      <c r="E29" s="62" t="s">
        <v>222</v>
      </c>
      <c r="F29" s="62"/>
    </row>
    <row r="30" spans="1:6" ht="40" customHeight="1" thickBot="1" x14ac:dyDescent="0.4">
      <c r="A30" s="60" t="s">
        <v>18</v>
      </c>
      <c r="B30" s="59"/>
      <c r="C30" s="61"/>
      <c r="D30" s="62"/>
      <c r="E30" s="62" t="s">
        <v>223</v>
      </c>
      <c r="F30" s="94" t="s">
        <v>224</v>
      </c>
    </row>
    <row r="31" spans="1:6" ht="15.5" x14ac:dyDescent="0.35">
      <c r="A31" s="55"/>
      <c r="B31" s="55"/>
      <c r="C31" s="55"/>
      <c r="D31" s="55"/>
      <c r="E31" s="55"/>
      <c r="F31" s="55"/>
    </row>
    <row r="32" spans="1:6" ht="15.5" x14ac:dyDescent="0.35">
      <c r="A32" s="55"/>
      <c r="B32" s="55"/>
      <c r="C32" s="55"/>
      <c r="D32" s="55"/>
      <c r="E32" s="55"/>
      <c r="F32" s="55"/>
    </row>
  </sheetData>
  <mergeCells count="12">
    <mergeCell ref="B23:F23"/>
    <mergeCell ref="B24:B25"/>
    <mergeCell ref="C24:C25"/>
    <mergeCell ref="D24:D25"/>
    <mergeCell ref="E24:E25"/>
    <mergeCell ref="F24:F25"/>
    <mergeCell ref="B3:F3"/>
    <mergeCell ref="B4:B5"/>
    <mergeCell ref="C4:C5"/>
    <mergeCell ref="D4:D5"/>
    <mergeCell ref="E4:E5"/>
    <mergeCell ref="F4:F5"/>
  </mergeCells>
  <pageMargins left="0.7" right="0.7" top="0.75" bottom="0.75" header="0.3" footer="0.3"/>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B885-962C-43C8-B6EC-26BBB53FC482}">
  <dimension ref="A1:BY41"/>
  <sheetViews>
    <sheetView zoomScale="50" zoomScaleNormal="50" workbookViewId="0">
      <pane xSplit="2" ySplit="1" topLeftCell="V21" activePane="bottomRight" state="frozen"/>
      <selection pane="topRight" activeCell="V2" sqref="V2:W12"/>
      <selection pane="bottomLeft" activeCell="V2" sqref="V2:W12"/>
      <selection pane="bottomRight" activeCell="Y23" sqref="Y23"/>
    </sheetView>
  </sheetViews>
  <sheetFormatPr defaultColWidth="9.1796875" defaultRowHeight="21" x14ac:dyDescent="0.5"/>
  <cols>
    <col min="1" max="1" width="27.453125" style="16" bestFit="1" customWidth="1"/>
    <col min="2" max="2" width="114.81640625" style="15" customWidth="1"/>
    <col min="3" max="3" width="52.453125" style="15" bestFit="1" customWidth="1"/>
    <col min="4" max="4" width="21.90625" style="15" bestFit="1" customWidth="1"/>
    <col min="5" max="5" width="39.26953125" style="16" bestFit="1" customWidth="1"/>
    <col min="6" max="6" width="17.36328125" style="16" bestFit="1" customWidth="1"/>
    <col min="7" max="7" width="22.81640625" style="16" bestFit="1" customWidth="1"/>
    <col min="8" max="8" width="22.7265625" style="17" bestFit="1" customWidth="1"/>
    <col min="9" max="9" width="127.453125" style="18" bestFit="1" customWidth="1"/>
    <col min="10" max="10" width="55.453125" style="18" bestFit="1" customWidth="1"/>
    <col min="11" max="11" width="55.1796875" style="18" bestFit="1" customWidth="1"/>
    <col min="12" max="12" width="20.08984375" style="18" bestFit="1" customWidth="1"/>
    <col min="13" max="13" width="138.08984375" style="18" bestFit="1" customWidth="1"/>
    <col min="14" max="14" width="48.90625" style="18" bestFit="1" customWidth="1"/>
    <col min="15" max="15" width="56.453125" style="18" customWidth="1"/>
    <col min="16" max="16" width="17" style="18" bestFit="1" customWidth="1"/>
    <col min="17" max="17" width="22.08984375" style="18" bestFit="1" customWidth="1"/>
    <col min="18" max="18" width="73.90625" style="18" bestFit="1" customWidth="1"/>
    <col min="19" max="19" width="141.7265625" style="86" bestFit="1" customWidth="1"/>
    <col min="20" max="20" width="104.08984375" style="87" bestFit="1" customWidth="1"/>
    <col min="21" max="21" width="41.36328125" style="87" customWidth="1"/>
    <col min="22" max="22" width="42.453125" style="87" customWidth="1"/>
    <col min="23" max="23" width="38.26953125" style="87" customWidth="1"/>
    <col min="24" max="24" width="37.36328125" style="87" customWidth="1"/>
    <col min="25" max="25" width="38.6328125" style="87" customWidth="1"/>
    <col min="26" max="77" width="9.1796875" style="87"/>
    <col min="78" max="16384" width="9.1796875" style="18"/>
  </cols>
  <sheetData>
    <row r="1" spans="1:77" ht="170.5" x14ac:dyDescent="0.5">
      <c r="A1" s="161" t="s">
        <v>124</v>
      </c>
      <c r="B1" s="161" t="s">
        <v>125</v>
      </c>
      <c r="C1" s="161" t="s">
        <v>270</v>
      </c>
      <c r="D1" s="161" t="s">
        <v>126</v>
      </c>
      <c r="E1" s="161" t="s">
        <v>127</v>
      </c>
      <c r="F1" s="161" t="s">
        <v>128</v>
      </c>
      <c r="G1" s="161" t="s">
        <v>129</v>
      </c>
      <c r="H1" s="161" t="s">
        <v>130</v>
      </c>
      <c r="I1" s="161" t="s">
        <v>271</v>
      </c>
      <c r="J1" s="161" t="s">
        <v>272</v>
      </c>
      <c r="K1" s="161" t="s">
        <v>273</v>
      </c>
      <c r="L1" s="161" t="s">
        <v>274</v>
      </c>
      <c r="M1" s="162" t="s">
        <v>275</v>
      </c>
      <c r="N1" s="161" t="s">
        <v>276</v>
      </c>
      <c r="O1" s="161" t="s">
        <v>131</v>
      </c>
      <c r="P1" s="161" t="s">
        <v>132</v>
      </c>
      <c r="Q1" s="161" t="s">
        <v>277</v>
      </c>
      <c r="R1" s="161" t="s">
        <v>278</v>
      </c>
      <c r="S1" s="161" t="s">
        <v>279</v>
      </c>
      <c r="T1" s="161" t="s">
        <v>248</v>
      </c>
      <c r="U1" s="161" t="s">
        <v>133</v>
      </c>
      <c r="V1" s="161" t="s">
        <v>249</v>
      </c>
      <c r="W1" s="161" t="s">
        <v>250</v>
      </c>
      <c r="X1" s="161" t="s">
        <v>25</v>
      </c>
      <c r="Y1" s="161" t="s">
        <v>157</v>
      </c>
    </row>
    <row r="2" spans="1:77" s="79" customFormat="1" ht="60" x14ac:dyDescent="0.35">
      <c r="A2" s="233" t="s">
        <v>135</v>
      </c>
      <c r="B2" s="233"/>
      <c r="C2" s="141"/>
      <c r="D2" s="141"/>
      <c r="E2" s="141"/>
      <c r="F2" s="141"/>
      <c r="G2" s="141"/>
      <c r="H2" s="141"/>
      <c r="I2" s="141"/>
      <c r="J2" s="141"/>
      <c r="K2" s="142"/>
      <c r="L2" s="143" t="s">
        <v>136</v>
      </c>
      <c r="M2" s="144"/>
      <c r="N2" s="144"/>
      <c r="O2" s="144"/>
      <c r="P2" s="143" t="s">
        <v>136</v>
      </c>
      <c r="Q2" s="144"/>
      <c r="R2" s="144"/>
      <c r="S2" s="163"/>
      <c r="T2" s="164"/>
      <c r="U2" s="164"/>
      <c r="V2" s="164"/>
      <c r="W2" s="164"/>
      <c r="X2" s="164"/>
      <c r="Y2" s="164"/>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row>
    <row r="3" spans="1:77" s="19" customFormat="1" ht="353" customHeight="1" x14ac:dyDescent="0.4">
      <c r="A3" s="93" t="str">
        <f>VLOOKUP("*1.1.1 - R*",'[1]5 BAF'!$A$4:$AAD$4896,1,FALSE)</f>
        <v>1.1.1 - R</v>
      </c>
      <c r="B3" s="93" t="str">
        <f>VLOOKUP("*1.1.1 - R*",'[1]5 BAF'!$A$4:$AAD$4896,2,FALSE)</f>
        <v xml:space="preserve">
the ICB is maintaining quality, services and outcomes through Improvement and transformation</v>
      </c>
      <c r="C3" s="93" t="str">
        <f>VLOOKUP("*1.1.1 - R*",'[1]5 BAF'!$A$4:$AAD$4896,3,FALSE)</f>
        <v xml:space="preserve">Anthony Fitzgerald
Doncaster / Rotherham Place Director
</v>
      </c>
      <c r="D3" s="93" t="str">
        <f>VLOOKUP("*1.1.1 - R*",'[1]5 BAF'!$A$4:$AAD$4896,4,FALSE)</f>
        <v xml:space="preserve">Claire Smith
</v>
      </c>
      <c r="E3" s="93" t="str">
        <f>VLOOKUP("*1.1.1 - R*",'[1]5 BAF'!$A$4:$AAD$4896,5,FALSE)</f>
        <v>Quality Performance Patient Involvement Experience (QPPIE) Supported by SY ICB Place Committees</v>
      </c>
      <c r="F3" s="93" t="str">
        <f>VLOOKUP("*1.1.1 - R*",'[1]5 BAF'!$A$4:$AAD$4896,6,FALSE)</f>
        <v>Accountable</v>
      </c>
      <c r="G3" s="93" t="str">
        <f>VLOOKUP("*1.1.1 - R*",'[1]5 BAF'!$A$4:$AAD$4896,7,FALSE)</f>
        <v>South Yorkshire Joint Forward Plan</v>
      </c>
      <c r="H3" s="93" t="str">
        <f>VLOOKUP("*1.1.1 - R*",'[1]5 BAF'!$A$4:$AAD$4896,8,FALSE)</f>
        <v>SY115, SY116, SY117, SY124, SY028, SY082, SY107, SY040, SY066, SY127, SY128, IL12, IL13, IL07, IL08, IL19, IL20</v>
      </c>
      <c r="I3" s="93" t="str">
        <f>VLOOKUP("*1.1.1 - R*",'[1]5 BAF'!$A$4:$AAD$4896,9,FALSE)</f>
        <v xml:space="preserve">
1) Rotherham Health and Care Place Plan details plans and is overseen by the Rotherham place board and the Health and Wellbeing board. Plan is also signed off by all statutory partners, VAR and Connect Healthcare. 
2) Discussion are taking place sept/Oct 25 regarding new arrangements post ICB model changes and a review of the Plan to reflect new priorities and changing role of ICB. 
3)Plans are forming for the new arrangements including RMBC chief exec is chairing until June and ICB are supporting development of new arrangements </v>
      </c>
      <c r="J3" s="93" t="str">
        <f>VLOOKUP("*1.1.1 - R*",'[1]5 BAF'!$A$4:$AAD$4896,10,FALSE)</f>
        <v xml:space="preserve">1) Rotherham Place Board receives monthly performance and quality reports. 
2)Rotherham place leadership team meets weekly. 
3) Place plan is being revised to align with revision of Health and Wellbeing board, engagement underway - will align to new planning guidance. H&amp;WB strategy has been to last board in November 25 for support further work ongoing re action plan that sits underneath this </v>
      </c>
      <c r="K3" s="93" t="str">
        <f>VLOOKUP("*1.1.1 - R*",'[1]5 BAF'!$A$4:$AAD$4896,11,FALSE)</f>
        <v>1) Quarterly performance meetings between Rotherham place and SYICB. 
2) RMBC health Select committee engage on issues as appropriate</v>
      </c>
      <c r="L3" s="165" t="str">
        <f>VLOOKUP("*1.1.1 - R*",'[1]5 BAF'!$A$4:$AAD$4896,12,FALSE)</f>
        <v>3 x 3 = 9</v>
      </c>
      <c r="M3" s="93" t="str">
        <f>VLOOKUP("*1.1.1 - R*",'[1]5 BAF'!$A$4:$AAD$4896,13,FALSE)</f>
        <v xml:space="preserve">none identified </v>
      </c>
      <c r="N3" s="93" t="str">
        <f>VLOOKUP("*1.1.1 - R*",'[1]5 BAF'!$A$4:$AAD$4896,14,FALSE)</f>
        <v xml:space="preserve">The Rotherham Place Plan focuses on prevention and health inequalities so it needs to implemented over the next 2 years </v>
      </c>
      <c r="O3" s="93" t="str">
        <f>VLOOKUP("*1.1.1 - R*",'[1]5 BAF'!$A$4:$AAD$4896,15,FALSE)</f>
        <v xml:space="preserve">Robust governance is in place. 
Resource (workforce across partnership) to deliver all actions within our Place Plan and Population Health and Inequalities strategy is needed to deliver </v>
      </c>
      <c r="P3" s="166" t="str">
        <f>VLOOKUP("*1.1.1 - R*",'[1]5 BAF'!$A$4:$AAD$4896,16,FALSE)</f>
        <v>2 x 3 = 6</v>
      </c>
      <c r="Q3" s="165" t="str">
        <f>VLOOKUP("*1.1.1 - R*",'[1]5 BAF'!$A$4:$AAD$4896,17,FALSE)</f>
        <v>Medium</v>
      </c>
      <c r="R3" s="93" t="str">
        <f>VLOOKUP("*1.1.1 - R*",'[1]5 BAF'!$A$4:$AAD$4896,18,FALSE)</f>
        <v xml:space="preserve">Alongside the Place Plan there is a strategy and action plan formalised through the population health and inequalities steering group chaired by the Director of Public Health and Deputy Place Director ICB. Assurance on the action plan is via the steering group, Health and Wellbeing Board and Place Board. The plan is being revised alongside strategy (Place Plan). First draft supported at November H&amp;WB board. Place Board working through what will be priorities for partners post April 26. We have agreed model and are supporting to develop new TORS and MOU. </v>
      </c>
      <c r="S3" s="93" t="str">
        <f>VLOOKUP("*1.1.1 - R*",'[1]5 BAF'!$A$4:$AAD$4896,19,FALSE)</f>
        <v xml:space="preserve">1) Implement Rotherham Health and Care plan. ensure that EQIAs are completed for all decisions -  those relating to how we achieve efficiencies required.  These will be done in year to March 26 
2) Work with SY and Place partners on Deloitte's work to ensure that at Place we are have a robust transformation programme that supports demand management/quality provision by end of 2026. 
3) Work with partners to understand how Place arrangements could be maintained in a new landscape given changes to ICBs by January 2026
</v>
      </c>
      <c r="T3" s="93">
        <f>VLOOKUP("*1.1.1 - R*",'[1]5 BAF'!$A$4:$AAD$4896,20,FALSE)</f>
        <v>0</v>
      </c>
      <c r="U3" s="93" t="str">
        <f>VLOOKUP("*1.1.1 - R*",'[1]5 BAF'!$A$4:$AAD$4896,21,FALSE)</f>
        <v>Delegated direct commissioning</v>
      </c>
      <c r="V3" s="93" t="str">
        <f>VLOOKUP("*1.1.1 - R*",'[1]5 BAF'!$A$4:$AAD$4896,22,FALSE)</f>
        <v>07/10/2024
11/11/2024
16/12/2024
06/01/2025
03/03/2025
04/04/2025
06/05/2025
10/06/2025
14/07/2025
18/08/2025
21/08/2025
22/09/2025
01/10/2025
03/11/2025
04/11/2025
08/12/2025
12/01/2026
16/02/2026</v>
      </c>
      <c r="W3" s="201">
        <f>VLOOKUP("*1.1.1 - R*",'[1]5 BAF'!$A$4:$AAD$4896,23,FALSE)</f>
        <v>46250</v>
      </c>
      <c r="X3" s="93" t="str">
        <f>VLOOKUP("*1.1.1 - R*",'[1]5 BAF'!$A$4:$AAD$4896,24,FALSE)</f>
        <v>Six-Monthly</v>
      </c>
      <c r="Y3" s="167" t="str">
        <f>VLOOKUP("*1.1.1 - R*",'[1]5 BAF'!$A$4:$AAD$4896,25,FALSE)</f>
        <v>Not overdue</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row>
    <row r="4" spans="1:77" s="19" customFormat="1" ht="320" x14ac:dyDescent="0.4">
      <c r="A4" s="93" t="str">
        <f>VLOOKUP("*1.3 - R*",'[1]5 BAF'!$A$4:$AAD$4896,1,FALSE)</f>
        <v>1.3 - R</v>
      </c>
      <c r="B4" s="93" t="str">
        <f>VLOOKUP("*1.3 - R*",'[1]5 BAF'!$A$4:$AAD$4896,2,FALSE)</f>
        <v xml:space="preserve">The local healthcare system is sustainable, accessible and reactive to change, through the development and implementation of effective Local Place Partnerships and Plans.
</v>
      </c>
      <c r="C4" s="93" t="str">
        <f>VLOOKUP("*1.3 - R*",'[1]5 BAF'!$A$4:$AAD$4896,3,FALSE)</f>
        <v xml:space="preserve">Anthony Fitzgerald
Doncaster / Rotherham Place Director
</v>
      </c>
      <c r="D4" s="93" t="str">
        <f>VLOOKUP("*1.3 - R*",'[1]5 BAF'!$A$4:$AAD$4896,4,FALSE)</f>
        <v xml:space="preserve">Claire Smith
</v>
      </c>
      <c r="E4" s="93" t="str">
        <f>VLOOKUP("*1.3 - R*",'[1]5 BAF'!$A$4:$AAD$4896,5,FALSE)</f>
        <v>Place Committee
System Leaders Executive</v>
      </c>
      <c r="F4" s="93" t="str">
        <f>VLOOKUP("*1.3 - R*",'[1]5 BAF'!$A$4:$AAD$4896,6,FALSE)</f>
        <v>Accountable</v>
      </c>
      <c r="G4" s="93" t="str">
        <f>VLOOKUP("*1.3 - R*",'[1]5 BAF'!$A$4:$AAD$4896,7,FALSE)</f>
        <v>South Yorkshire Joint Forward Plan / BAF 2023</v>
      </c>
      <c r="H4" s="93" t="str">
        <f>VLOOKUP("*1.3 - R*",'[1]5 BAF'!$A$4:$AAD$4896,8,FALSE)</f>
        <v>SY082, SY028,  SY069, SY040</v>
      </c>
      <c r="I4" s="93" t="str">
        <f>VLOOKUP("*1.3 - R*",'[1]5 BAF'!$A$4:$AAD$4896,9,FALSE)</f>
        <v>1) Development and implementation of effective system-wide and Place Operational Plans
2) Effective delivery management processes at place including internal ICB escalation
3) Effective and responsive complaints and enquiries processes
4) Patient experience and engagement process
5) Integrated Care Strategy
6) 5 year ICB Plan
7) EPRR
8) NHS England/SY ICB Assurance MOU</v>
      </c>
      <c r="J4" s="93" t="str">
        <f>VLOOKUP("*1.3 - R*",'[1]5 BAF'!$A$4:$AAD$4896,10,FALSE)</f>
        <v>1) ICB Place Committees
2) Operational Executive
3) Board Sub Committee review</v>
      </c>
      <c r="K4" s="93" t="str">
        <f>VLOOKUP("*1.3 - R*",'[1]5 BAF'!$A$4:$AAD$4896,11,FALSE)</f>
        <v>1) Local Health and Welbeing Boards
2)  NHSE Single Oversight Framework
3) NHSE Assurance process</v>
      </c>
      <c r="L4" s="165" t="str">
        <f>VLOOKUP("*1.3 - R*",'[1]5 BAF'!$A$4:$AAD$4896,12,FALSE)</f>
        <v xml:space="preserve">3 x 4 = 12
</v>
      </c>
      <c r="M4" s="93" t="str">
        <f>VLOOKUP("*1.3 - R*",'[1]5 BAF'!$A$4:$AAD$4896,13,FALSE)</f>
        <v xml:space="preserve">none identified </v>
      </c>
      <c r="N4" s="93" t="str">
        <f>VLOOKUP("*1.3 - R*",'[1]5 BAF'!$A$4:$AAD$4896,14,FALSE)</f>
        <v>None identified</v>
      </c>
      <c r="O4" s="93" t="str">
        <f>VLOOKUP("*1.3 - R*",'[1]5 BAF'!$A$4:$AAD$4896,15,FALSE)</f>
        <v>1)Greater certainty of finances and resources to provide planned services, 25 26 planning completed and there is clarity in terms of the additional financial gap in year that requires closing. 
2)There are plans in place to manage demand on acute services and we are looking at all provision in terms of whether it is statutory, VFM etc to seek further efficiencies. Planning has commenced for 26 27 with Place commissioning intentions in development.</v>
      </c>
      <c r="P4" s="165" t="str">
        <f>VLOOKUP("*1.3 - R*",'[1]5 BAF'!$A$4:$AAD$4896,16,FALSE)</f>
        <v>3 x 3 = 9</v>
      </c>
      <c r="Q4" s="165" t="str">
        <f>VLOOKUP("*1.3 - R*",'[1]5 BAF'!$A$4:$AAD$4896,17,FALSE)</f>
        <v>Medium</v>
      </c>
      <c r="R4" s="93" t="str">
        <f>VLOOKUP("*1.3 - R*",'[1]5 BAF'!$A$4:$AAD$4896,18,FALSE)</f>
        <v>agreement on uplifts to ensure ending of collective action *relating to new resident drs potential strikes in July 25</v>
      </c>
      <c r="S4" s="93" t="str">
        <f>VLOOKUP("*1.3 - R*",'[1]5 BAF'!$A$4:$AAD$4896,19,FALSE)</f>
        <v>No gaps identified, no action required</v>
      </c>
      <c r="T4" s="93" t="str">
        <f>VLOOKUP("*1.3 - R*",'[1]5 BAF'!$A$4:$AAD$4896,20,FALSE)</f>
        <v xml:space="preserve">August 2025 - budgets shared with understanding of financial gap that requires closing in year, turnaround budget meeting held and non recurrent/recurrent savings identified to support position. Demand management plans are in place and  being monitored though there are risks as we are seeing increases in attendances to A&amp;E and others services in primary and secondary care. Further work is being completed with trust and partners to look at what would be need to close beds and release ££s . 
November 2025 - this work continues, however the trust is seeing high demand through A&amp;E, positively this is not increasing admissions 
January 2026 - work underway to identified demand management schemes for 26 27 </v>
      </c>
      <c r="U4" s="93" t="str">
        <f>VLOOKUP("*1.3 - R*",'[1]5 BAF'!$A$4:$AAD$4896,21,FALSE)</f>
        <v xml:space="preserve">Place Delegation Arrangements and Effectiveness - Audit of Place governance commenced (as of 30/01/2025)
</v>
      </c>
      <c r="V4" s="93" t="str">
        <f>VLOOKUP("*1.3 - R*",'[1]5 BAF'!$A$4:$AAD$4896,22,FALSE)</f>
        <v>07/10/2024
06/01/2025
20/01/2025
30/01/2025
03/03/2025
04/04/2025
06/05/2025
10/06/2025
14/07/2025
18/08/2025
21/08/2025
22/09/2025
03/11/2025
04/11/2025
12/01/2026
16/02/2026</v>
      </c>
      <c r="W4" s="201">
        <f>VLOOKUP("*1.3 - R*",'[1]5 BAF'!$A$4:$AAD$4896,23,FALSE)</f>
        <v>46158</v>
      </c>
      <c r="X4" s="93" t="str">
        <f>VLOOKUP("*1.3 - R*",'[1]5 BAF'!$A$4:$AAD$4896,24,FALSE)</f>
        <v>Quarterly</v>
      </c>
      <c r="Y4" s="167" t="str">
        <f>VLOOKUP("*1.3 - R*",'[1]5 BAF'!$A$4:$AAD$4896,25,FALSE)</f>
        <v>Not overdue</v>
      </c>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row>
    <row r="5" spans="1:77" s="19" customFormat="1" ht="180" x14ac:dyDescent="0.4">
      <c r="A5" s="93" t="str">
        <f>VLOOKUP("*1.6.1*",'[1]5 BAF'!$A$4:$AAD$4896,1,FALSE)</f>
        <v>1.6.1 - CYP Alliance</v>
      </c>
      <c r="B5" s="93" t="str">
        <f>VLOOKUP("*1.6.1*",'[1]5 BAF'!$A$4:$AAD$4896,2,FALSE)</f>
        <v xml:space="preserve">Children and Young People (0-25) services are effective and of high quality standards (General Services), The services meet the needs of the children, young people and families living in each Place and the services.  Failure to meet this may result in health inequalities </v>
      </c>
      <c r="C5" s="93" t="str">
        <f>VLOOKUP("*1.6.1*",'[1]5 BAF'!$A$4:$AAD$4896,3,FALSE)</f>
        <v>Cathy Winfield  
Chief Nursing Officer</v>
      </c>
      <c r="D5" s="93" t="str">
        <f>VLOOKUP("*1.6.1*",'[1]5 BAF'!$A$4:$AAD$4896,4,FALSE)</f>
        <v>Nicola Ennis</v>
      </c>
      <c r="E5" s="93" t="str">
        <f>VLOOKUP("*1.6.1*",'[1]5 BAF'!$A$4:$AAD$4896,5,FALSE)</f>
        <v>SY ICB Place Committees</v>
      </c>
      <c r="F5" s="93" t="str">
        <f>VLOOKUP("*1.6.1*",'[1]5 BAF'!$A$4:$AAD$4896,6,FALSE)</f>
        <v>Accountable</v>
      </c>
      <c r="G5" s="93" t="str">
        <f>VLOOKUP("*1.6.1*",'[1]5 BAF'!$A$4:$AAD$4896,7,FALSE)</f>
        <v>South Yorkshire Joint Forward Plan</v>
      </c>
      <c r="H5" s="93" t="str">
        <f>VLOOKUP("*1.6.1*",'[1]5 BAF'!$A$4:$AAD$4896,8,FALSE)</f>
        <v>SY040, SY107, SY127, SY128, IL08</v>
      </c>
      <c r="I5" s="93" t="str">
        <f>VLOOKUP("*1.6.1*",'[1]5 BAF'!$A$4:$AAD$4896,9,FALSE)</f>
        <v xml:space="preserve">1) Ensuring effectiveness of  children and young people (CYP) services align with the Joint Forward Plan (JFP), Getting in Right First Time (GIRFT) and the bold ambition  best start in life which included waiting lists for community services, elective surgery, mental health services and neurodevelopment assessments. 
2) Each Place has specific workplans connected to the recovery of long waits and the key leads from Place are working with provider collaboratives and alliance to support system change in services where appropriate. 
</v>
      </c>
      <c r="J5" s="93" t="str">
        <f>VLOOKUP("*1.6.1*",'[1]5 BAF'!$A$4:$AAD$4896,10,FALSE)</f>
        <v>1) Place Boards
2) Provider Collaberatives and Alliance Boards
3) ICB System Leaders Groups</v>
      </c>
      <c r="K5" s="93" t="str">
        <f>VLOOKUP("*1.6.1*",'[1]5 BAF'!$A$4:$AAD$4896,11,FALSE)</f>
        <v xml:space="preserve">NHSE regional and national reporting </v>
      </c>
      <c r="L5" s="165" t="str">
        <f>VLOOKUP("*1.6.1*",'[1]5 BAF'!$A$4:$AAD$4896,12,FALSE)</f>
        <v>3 x 3 = 9</v>
      </c>
      <c r="M5" s="93" t="str">
        <f>VLOOKUP("*1.6.1*",'[1]5 BAF'!$A$4:$AAD$4896,13,FALSE)</f>
        <v xml:space="preserve">Uncertainty in strategic direction due to pending national guidance.
Resource constraints driven by mandated cost reductions to take effect by December 2025.
Engagement from key stakeholders.
</v>
      </c>
      <c r="N5" s="93" t="str">
        <f>VLOOKUP("*1.6.1*",'[1]5 BAF'!$A$4:$AAD$4896,14,FALSE)</f>
        <v xml:space="preserve">Unclear prioritisation across stakeholders.
</v>
      </c>
      <c r="O5" s="93" t="str">
        <f>VLOOKUP("*1.6.1*",'[1]5 BAF'!$A$4:$AAD$4896,15,FALSE)</f>
        <v xml:space="preserve">1) Involve CYP, Families and Carers
2) involve the CYP workforce
3) Involve ICB CYP Place leads and providers 
4) involve finance colleagues
</v>
      </c>
      <c r="P5" s="166" t="str">
        <f>VLOOKUP("*1.6.1*",'[1]5 BAF'!$A$4:$AAD$4896,16,FALSE)</f>
        <v>2 x 3 = 6</v>
      </c>
      <c r="Q5" s="165" t="str">
        <f>VLOOKUP("*1.6.1*",'[1]5 BAF'!$A$4:$AAD$4896,17,FALSE)</f>
        <v>Medium</v>
      </c>
      <c r="R5" s="93" t="str">
        <f>VLOOKUP("*1.6.1*",'[1]5 BAF'!$A$4:$AAD$4896,18,FALSE)</f>
        <v xml:space="preserve">We are working alongside ICB CYP leads to understand Place priorities and the service provision already commissioned. We are reviewing what needs to change to ensure effective services in line with insights shared by CYP  e.g. access to services 
</v>
      </c>
      <c r="S5" s="93" t="str">
        <f>VLOOKUP("*1.6.1*",'[1]5 BAF'!$A$4:$AAD$4896,19,FALSE)</f>
        <v xml:space="preserve">1) Agree priorities areas to work together in 2026 and create improvements following the community mapping exercise.
</v>
      </c>
      <c r="T5" s="93" t="str">
        <f>VLOOKUP("*1.6.1*",'[1]5 BAF'!$A$4:$AAD$4896,20,FALSE)</f>
        <v>September 2025 - The Acute Federation have completed the community mapping exercise, they have a report and recommendations in draft waiting for final approval and then into the next step to take forward the recommendations. It has been difficult to gain the full financial picture due to a variation in commissioning arrangements however as much as could be understood at this time has been and this aspect of the work has been completed.</v>
      </c>
      <c r="U5" s="93" t="str">
        <f>VLOOKUP("*1.6.1*",'[1]5 BAF'!$A$4:$AAD$4896,21,FALSE)</f>
        <v>No</v>
      </c>
      <c r="V5" s="93" t="str">
        <f>VLOOKUP("*1.6.1*",'[1]5 BAF'!$A$4:$AAD$4896,22,FALSE)</f>
        <v>22/10/2024
07/01/2025
31/03/2025
18/08/2025
30/09/2025</v>
      </c>
      <c r="W5" s="201">
        <f>VLOOKUP("*1.6.1*",'[1]5 BAF'!$A$4:$AAD$4896,23,FALSE)</f>
        <v>46111</v>
      </c>
      <c r="X5" s="93" t="str">
        <f>VLOOKUP("*1.6.1*",'[1]5 BAF'!$A$4:$AAD$4896,24,FALSE)</f>
        <v>Six-Monthly</v>
      </c>
      <c r="Y5" s="246" t="str">
        <f>VLOOKUP("*1.6.1*",'[1]5 BAF'!$A$4:$AAD$4896,25,FALSE)</f>
        <v xml:space="preserve">-3 </v>
      </c>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row>
    <row r="6" spans="1:77" s="19" customFormat="1" ht="360" x14ac:dyDescent="0.4">
      <c r="A6" s="93" t="str">
        <f>VLOOKUP("*1.6.2.1*",'[1]5 BAF'!$A$4:$AAD$4896,1,FALSE)</f>
        <v>1.6.2.1.</v>
      </c>
      <c r="B6" s="93" t="str">
        <f>VLOOKUP("*1.6.2.1.*",'[1]5 BAF'!$A$4:$AAD$4896,2,FALSE)</f>
        <v>The ICB is meeting its statutory safeguarding responsibilities</v>
      </c>
      <c r="C6" s="93" t="str">
        <f>VLOOKUP("*1.6.2.1.*",'[1]5 BAF'!$A$4:$AAD$4896,3,FALSE)</f>
        <v>Cathy Winfield  
Chief Nursing Officer</v>
      </c>
      <c r="D6" s="93" t="str">
        <f>VLOOKUP("*1.6.2.1.*",'[1]5 BAF'!$A$4:$AAD$4896,4,FALSE)</f>
        <v>Alun Windle
Jayne Sivakumar</v>
      </c>
      <c r="E6" s="93" t="str">
        <f>VLOOKUP("*1.6.2.1.*",'[1]5 BAF'!$A$4:$AAD$4896,5,FALSE)</f>
        <v>Place Committee</v>
      </c>
      <c r="F6" s="93" t="str">
        <f>VLOOKUP("*1.6.2.1.*",'[1]5 BAF'!$A$4:$AAD$4896,6,FALSE)</f>
        <v>Accountable</v>
      </c>
      <c r="G6" s="93" t="str">
        <f>VLOOKUP("*1.6.2.1.*",'[1]5 BAF'!$A$4:$AAD$4896,7,FALSE)</f>
        <v>South Yorkshire Joint Forward Plan</v>
      </c>
      <c r="H6" s="93" t="str">
        <f>VLOOKUP("*1.6.2.1.*",'[1]5 BAF'!$A$4:$AAD$4896,8,FALSE)</f>
        <v>SY040, SY107, SY127, SY128</v>
      </c>
      <c r="I6" s="93" t="str">
        <f>VLOOKUP("*1.6.2.1.*",'[1]5 BAF'!$A$4:$AAD$4896,9,FALSE)</f>
        <v>SY Children and Young People Alliance</v>
      </c>
      <c r="J6" s="93" t="str">
        <f>VLOOKUP("*1.6.2.1.*",'[1]5 BAF'!$A$4:$AAD$4896,10,FALSE)</f>
        <v xml:space="preserve">1) Safeguarding - Place Based Local Safeguarding Partnerships. 
2) ICB System - Safeguarding Oversight and Assurance Meeting (SOAM), QPIE.
</v>
      </c>
      <c r="K6" s="93" t="str">
        <f>VLOOKUP("*1.6.2.1.*",'[1]5 BAF'!$A$4:$AAD$4896,11,FALSE)</f>
        <v xml:space="preserve">1) Local Safeguarding Partnerships
2) NHS E Regional and National Teams 
3) CQC </v>
      </c>
      <c r="L6" s="165" t="str">
        <f>VLOOKUP("*1.6.2.1.*",'[1]5 BAF'!$A$4:$AAD$4896,12,FALSE)</f>
        <v>3 x 3 = 9</v>
      </c>
      <c r="M6" s="93" t="str">
        <f>VLOOKUP("*1.6.2.1.*",'[1]5 BAF'!$A$4:$AAD$4896,13,FALSE)</f>
        <v>A South Yorkshire four Place differing approach to safeguarding
Implementation of the co-design and Insights work undertaken over the previous 12 months.
Single system safegaurding dashboard</v>
      </c>
      <c r="N6" s="93" t="str">
        <f>VLOOKUP("*1.6.2.1.*",'[1]5 BAF'!$A$4:$AAD$4896,14,FALSE)</f>
        <v>A single system approach to data monitoring, risk oversight and escalation.</v>
      </c>
      <c r="O6" s="93" t="str">
        <f>VLOOKUP("*1.6.2.1.*",'[1]5 BAF'!$A$4:$AAD$4896,15,FALSE)</f>
        <v xml:space="preserve">1) Involve CYP
2) Health Equity Collaborative
3) Long term conditions
4) New service models &amp; pilots eg core connect
5) Children and young people mental health
</v>
      </c>
      <c r="P6" s="166" t="str">
        <f>VLOOKUP("*1.6.2.1.*",'[1]5 BAF'!$A$4:$AAD$4896,16,FALSE)</f>
        <v>3 x 2 = 6</v>
      </c>
      <c r="Q6" s="165" t="str">
        <f>VLOOKUP("*1.6.2.1.*",'[1]5 BAF'!$A$4:$AAD$4896,17,FALSE)</f>
        <v>Medium</v>
      </c>
      <c r="R6" s="93" t="str">
        <f>VLOOKUP("*1.6.2.1.*",'[1]5 BAF'!$A$4:$AAD$4896,18,FALSE)</f>
        <v>Safeguarding teams are well established and safeguarding approach at ICB is well established. Mechanisms of assurance is in place at Place, further work being undertaken to bring it together as an ICB system</v>
      </c>
      <c r="S6" s="93" t="str">
        <f>VLOOKUP("*1.6.2.1.*",'[1]5 BAF'!$A$4:$AAD$4896,19,FALSE)</f>
        <v>1) Populate and submit the NHS Digital Safeguarding dashboard requirements aligned to NHS E Quarterly Audits, and bi-monthly to Safeguarding Oversight and Assurance Meeting (SOAM) throughout 25/26, with aim to achieve by Q4 25/26
2) Further develop the oversight and assurance framework for safeguarding across all 4 areas and report into QIPPE at a system level by end of Q3 25/26
Review and await the strategic commissioning functions of Integrated Care boards expected to be finalised by Q3 25/26
Oversight framework developed and approved by QPPIE in March 2025 in line with the development of the strategic commissioning framework for ICB, implementation currently on hold due to recent government announcement re: running cost reductions, which are expected to be finalised by Q3 25/26
Business Continuity Plan for ICB Quality and Safety has been developed. 
The Associate Director of Nursing for Patient Safety and IPC is working with NHSE to scope out  the key elements of the future Quality functions - future roles and responsibilities and how SYICB will approach the work. This is nearly completed.  RACI developed.
Quality Escalation for cancer services drafted.
Time out for Quality and Nursing Leadership arranged for 13 Feb to look at future model and ways of working.</v>
      </c>
      <c r="T6" s="93">
        <f>VLOOKUP("*1.6.2.1.*",'[1]5 BAF'!$A$4:$AAD$4896,20,FALSE)</f>
        <v>0</v>
      </c>
      <c r="U6" s="93" t="str">
        <f>VLOOKUP("*1.6.2.1.*",'[1]5 BAF'!$A$4:$AAD$4896,21,FALSE)</f>
        <v>No</v>
      </c>
      <c r="V6" s="93" t="str">
        <f>VLOOKUP("*1.6.2.1.*",'[1]5 BAF'!$A$4:$AAD$4896,22,FALSE)</f>
        <v>30/10/2024
07/01/2025
27/03/2025
21/07/2025
26/01/2026
30/03/2026</v>
      </c>
      <c r="W6" s="201">
        <f>VLOOKUP("*1.6.2.1.*",'[1]5 BAF'!$A$4:$AAD$4896,23,FALSE)</f>
        <v>46295</v>
      </c>
      <c r="X6" s="93" t="str">
        <f>VLOOKUP("*1.6.2.1.*",'[1]5 BAF'!$A$4:$AAD$4896,24,FALSE)</f>
        <v>Six-Monthly</v>
      </c>
      <c r="Y6" s="167" t="str">
        <f>VLOOKUP("*1.6.2.1.*",'[1]5 BAF'!$A$4:$AAD$4896,25,FALSE)</f>
        <v>Not overdue</v>
      </c>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row>
    <row r="7" spans="1:77" s="19" customFormat="1" ht="160" x14ac:dyDescent="0.4">
      <c r="A7" s="93" t="str">
        <f>VLOOKUP("*1.6.2.2*",'[1]5 BAF'!$A$4:$AAD$4896,1,FALSE)</f>
        <v>1.6.2.2</v>
      </c>
      <c r="B7" s="93" t="str">
        <f>VLOOKUP("*1.6.2.2*",'[1]5 BAF'!$A$4:$AAD$4896,2,FALSE)</f>
        <v>Children and Young People (0-25) services are effective (SEND)</v>
      </c>
      <c r="C7" s="93" t="str">
        <f>VLOOKUP("*1.6.2.2*",'[1]5 BAF'!$A$4:$AAD$4896,3,FALSE)</f>
        <v>Cathy Winfield  
Chief Nursing Officer</v>
      </c>
      <c r="D7" s="93" t="str">
        <f>VLOOKUP("*1.6.2.2*",'[1]5 BAF'!$A$4:$AAD$4896,4,FALSE)</f>
        <v>Andrea Ibbeson</v>
      </c>
      <c r="E7" s="93" t="str">
        <f>VLOOKUP("*1.6.2.2*",'[1]5 BAF'!$A$4:$AAD$4896,5,FALSE)</f>
        <v xml:space="preserve">Place Committees and 
SY ICB SEND Board
</v>
      </c>
      <c r="F7" s="93" t="str">
        <f>VLOOKUP("*1.6.2.2*",'[1]5 BAF'!$A$4:$AAD$4896,6,FALSE)</f>
        <v>Accountable</v>
      </c>
      <c r="G7" s="93" t="str">
        <f>VLOOKUP("*1.6.2.2*",'[1]5 BAF'!$A$4:$AAD$4896,7,FALSE)</f>
        <v>South Yorkshire Joint Forward Plan</v>
      </c>
      <c r="H7" s="93" t="str">
        <f>VLOOKUP("*1.6.2.2*",'[1]5 BAF'!$A$4:$AAD$4896,8,FALSE)</f>
        <v>SY040, SY107, SY127, SY128</v>
      </c>
      <c r="I7" s="93" t="str">
        <f>VLOOKUP("*1.6.2.2*",'[1]5 BAF'!$A$4:$AAD$4896,9,FALSE)</f>
        <v>SY Children and Young People Alliance</v>
      </c>
      <c r="J7" s="93" t="str">
        <f>VLOOKUP("*1.6.2.2*",'[1]5 BAF'!$A$4:$AAD$4896,10,FALSE)</f>
        <v>1) SEND - SEND place based multi-agency boards
2) ICB System - ICB SEND Board (chaired by Chief Nurse Officer), QPIE</v>
      </c>
      <c r="K7" s="93" t="str">
        <f>VLOOKUP("*1.6.2.2*",'[1]5 BAF'!$A$4:$AAD$4896,11,FALSE)</f>
        <v>1) Place Based MA SEND Board 
2) NHS E Regional and National Teams 
3) CQC</v>
      </c>
      <c r="L7" s="165" t="str">
        <f>VLOOKUP("*1.6.2.2*",'[1]5 BAF'!$A$4:$AAD$4896,12,FALSE)</f>
        <v>3 x 3 = 9</v>
      </c>
      <c r="M7" s="93" t="str">
        <f>VLOOKUP("*1.6.2.2*",'[1]5 BAF'!$A$4:$AAD$4896,13,FALSE)</f>
        <v>Staffing - identified that there is a need for a Head of SEND to support the ICB to carry out statutory obligations of the SEND agenda 
Rotherham - Designated Clinical Officer (DCO) WTE as currently at 0.8</v>
      </c>
      <c r="N7" s="93" t="str">
        <f>VLOOKUP("*1.6.2.2*",'[1]5 BAF'!$A$4:$AAD$4896,14,FALSE)</f>
        <v xml:space="preserve">Dashboard that will offer full understanding of performance and quality matrix for the system. 
</v>
      </c>
      <c r="O7" s="93" t="str">
        <f>VLOOKUP("*1.6.2.2*",'[1]5 BAF'!$A$4:$AAD$4896,15,FALSE)</f>
        <v xml:space="preserve">1) Involve CYP
2) Health Equity Collaborative
3) Long term conditions
4) New service models &amp; pilots eg core connect
5) Children and young people mental health
</v>
      </c>
      <c r="P7" s="166" t="str">
        <f>VLOOKUP("*1.6.2.2*",'[1]5 BAF'!$A$4:$AAD$4896,16,FALSE)</f>
        <v>3 x 2 = 6</v>
      </c>
      <c r="Q7" s="165" t="str">
        <f>VLOOKUP("*1.6.2.2*",'[1]5 BAF'!$A$4:$AAD$4896,17,FALSE)</f>
        <v>Medium</v>
      </c>
      <c r="R7" s="93" t="str">
        <f>VLOOKUP("*1.6.2.2*",'[1]5 BAF'!$A$4:$AAD$4896,18,FALSE)</f>
        <v>Designated clinical officers and transformation leads at Place are well established alongside the required partnership working at Place. Further work to be undertaken to bring together as an ICB system</v>
      </c>
      <c r="S7" s="93" t="str">
        <f>VLOOKUP("*1.6.2.2*",'[1]5 BAF'!$A$4:$AAD$4896,19,FALSE)</f>
        <v>1) Plan to recruit a Head of SEND is currently on hold whilst organisational change is being worked through during 2025/6. This may extend to beyond this financial year, pending further announcements.
2)Roles and responsibilities are being reviewed as part of a wider piece of work to support the organisational change process during 2025/6. This may extend to beyond this financial year, pending further announcements.
3) Continue to develop a SEND dashboard throughout 2025/26, which may face delay in light of the current organisational change process.</v>
      </c>
      <c r="T7" s="93" t="str">
        <f>VLOOKUP("*1.6.2.2*",'[1]5 BAF'!$A$4:$AAD$4896,20,FALSE)</f>
        <v>24/03/25 - ICB SEND Board is established, first meeting held in October in 2024. Clear reporting structures have been formed and are now established. This provides assurances to QPPIE and ICB Executive Leads. We continue to meet with service users and families at each place to ensure their voices are heard and acted upon.</v>
      </c>
      <c r="U7" s="93" t="str">
        <f>VLOOKUP("*1.6.2.2*",'[1]5 BAF'!$A$4:$AAD$4896,21,FALSE)</f>
        <v>No</v>
      </c>
      <c r="V7" s="93" t="str">
        <f>VLOOKUP("*1.6.2.2*",'[1]5 BAF'!$A$4:$AAD$4896,22,FALSE)</f>
        <v>30/10/2024
11/11/2024
07/01/2025
27/03/2025
17/07/2025
30/09/2025</v>
      </c>
      <c r="W7" s="201">
        <f>VLOOKUP("*1.6.2.2*",'[1]5 BAF'!$A$4:$AAD$4896,23,FALSE)</f>
        <v>46111</v>
      </c>
      <c r="X7" s="93" t="str">
        <f>VLOOKUP("*1.6.2.2*",'[1]5 BAF'!$A$4:$AAD$4896,24,FALSE)</f>
        <v>Six-Monthly</v>
      </c>
      <c r="Y7" s="246" t="str">
        <f>VLOOKUP("*1.6.2.2*",'[1]5 BAF'!$A$4:$AAD$4896,25,FALSE)</f>
        <v xml:space="preserve">-3 </v>
      </c>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row>
    <row r="8" spans="1:77" s="19" customFormat="1" ht="409.5" x14ac:dyDescent="0.4">
      <c r="A8" s="93" t="str">
        <f>VLOOKUP("*1.6.3*",'[1]5 BAF'!$A$4:$AAD$4896,1,FALSE)</f>
        <v>1.6.3.</v>
      </c>
      <c r="B8" s="93" t="str">
        <f>VLOOKUP("*1.6.3.*",'[1]5 BAF'!$A$4:$AAD$4896,2,FALSE)</f>
        <v>Children and Young People (0-25) services are effective (Mental Health, LD and Autism)
Specifically for mental health this includes:
• Implementation of Mental Health Support Teams in Schools
• A comprehensive offer for 0-25 year olds that reaches across mental health services for CYP and adults.
• The 95% CYP Eating Disorder referral to treatment time standards and the proportion of CYP waiting 4 weeks or less to start receiving help achieved
• 100% coverage of 24/7 mental health crisis care provision for children and young people which combines crisis assessment, brief response and intensive home treatment functions
• Delivery of the CYP inpatient transformation plan (led by specialised collaborative)
• CYP mental health plans will align with those for children and young people with learning disability, autism, special educational needs and disability (SEND), children and young people’s services, and health and justice</v>
      </c>
      <c r="C8" s="93" t="str">
        <f>VLOOKUP("*1.6.3.*",'[1]5 BAF'!$A$4:$AAD$4896,3,FALSE)</f>
        <v>Sarah Perkins
Director of Transformation and Delivery</v>
      </c>
      <c r="D8" s="93" t="str">
        <f>VLOOKUP("*1.6.3.*",'[1]5 BAF'!$A$4:$AAD$4896,4,FALSE)</f>
        <v>Kelly Glover
Sarah Boul</v>
      </c>
      <c r="E8" s="93" t="str">
        <f>VLOOKUP("*1.6.3.*",'[1]5 BAF'!$A$4:$AAD$4896,5,FALSE)</f>
        <v>Place Committee</v>
      </c>
      <c r="F8" s="93" t="str">
        <f>VLOOKUP("*1.6.3.*",'[1]5 BAF'!$A$4:$AAD$4896,6,FALSE)</f>
        <v>Accountable</v>
      </c>
      <c r="G8" s="93" t="str">
        <f>VLOOKUP("*1.6.3.*",'[1]5 BAF'!$A$4:$AAD$4896,7,FALSE)</f>
        <v>South Yorkshire Joint Forward Plan</v>
      </c>
      <c r="H8" s="93" t="str">
        <f>VLOOKUP("*1.6.3.*",'[1]5 BAF'!$A$4:$AAD$4896,8,FALSE)</f>
        <v>SY040, SY107, SY127, SY128</v>
      </c>
      <c r="I8" s="93" t="str">
        <f>VLOOKUP("*1.6.3.*",'[1]5 BAF'!$A$4:$AAD$4896,9,FALSE)</f>
        <v>1) Development and implementation of effective system-wide and Place Operational Plans to deliver LTP B35 planning objectives
2) Effective delivery management processes at place including internal ICB escalation and system level oversight
3) Effective patient experience and engagement process to support delivery undertaken by VCSE partner
4) Focus on delivering the ambitions of the Integrated Care Strategy and 5 year ICB Plan with a focus on early intervention and prevention</v>
      </c>
      <c r="J8" s="93" t="str">
        <f>VLOOKUP("*1.6.3.*",'[1]5 BAF'!$A$4:$AAD$4896,10,FALSE)</f>
        <v xml:space="preserve">1) ICB Place Committees
2) MHLDDA SDG
3) Senior Leadership Executive
4) Operational Executive
5) Board </v>
      </c>
      <c r="K8" s="93" t="str">
        <f>VLOOKUP("*1.6.3.*",'[1]5 BAF'!$A$4:$AAD$4896,11,FALSE)</f>
        <v xml:space="preserve"> NHSE Assurance process</v>
      </c>
      <c r="L8" s="165" t="str">
        <f>VLOOKUP("*1.6.3.*",'[1]5 BAF'!$A$4:$AAD$4896,12,FALSE)</f>
        <v>3 x 3 = 9</v>
      </c>
      <c r="M8" s="93" t="str">
        <f>VLOOKUP("*1.6.3.*",'[1]5 BAF'!$A$4:$AAD$4896,13,FALSE)</f>
        <v>Sufficient Funding and Workforce</v>
      </c>
      <c r="N8" s="93" t="str">
        <f>VLOOKUP("*1.6.3.*",'[1]5 BAF'!$A$4:$AAD$4896,14,FALSE)</f>
        <v xml:space="preserve">
ICB Level assurance of neurodiversity pathways that we are effectively tackling issues around neurodiversity in each Place and at system</v>
      </c>
      <c r="O8" s="93" t="str">
        <f>VLOOKUP("*1.6.3.*",'[1]5 BAF'!$A$4:$AAD$4896,15,FALSE)</f>
        <v>1) Involve CYP
2) Health Equity Collaborative
3) Long term conditions
4) New service models &amp; pilots eg core connect
5) Children and young people mental health
6)Family hubs
7)Full usage of targeted SDF</v>
      </c>
      <c r="P8" s="166" t="str">
        <f>VLOOKUP("*1.6.3.*",'[1]5 BAF'!$A$4:$AAD$4896,16,FALSE)</f>
        <v>3 x 2 = 6</v>
      </c>
      <c r="Q8" s="165" t="str">
        <f>VLOOKUP("*1.6.3.*",'[1]5 BAF'!$A$4:$AAD$4896,17,FALSE)</f>
        <v>Medium</v>
      </c>
      <c r="R8" s="93" t="str">
        <f>VLOOKUP("*1.6.3.*",'[1]5 BAF'!$A$4:$AAD$4896,18,FALSE)</f>
        <v xml:space="preserve">The collaboratives, ICB programmes and places are working to clarify who is leading what to ensure clarity around what the priorities are across the system and who is leading and contributing to which elements. Data to support a number of the metrics is flowing again giving assurances that access to services is improving, 2 new NHSTs will be coming onboard and all places have 24/7 crisis provision. 
</v>
      </c>
      <c r="S8" s="93" t="str">
        <f>VLOOKUP("*1.6.3.*",'[1]5 BAF'!$A$4:$AAD$4896,19,FALSE)</f>
        <v>1) ICB level and Place level oversight of deliverables and adherence to access and waiting times standards, ongoing quarterly throughout 25/26.
2) Places to focus on local pathways and developments – including phase 2 of the Partnership for inclusion in schools (PINS) project, by Q4 25/26 with the evaluation continuing through 26/27
3) LDA Programme to focus on SY-Wide approaches – including expansion of the All Age LDA Key-working service which will conclude phase 2 by Q4 25/26 with the Adult Proof of concept running through to 26/27 following the completion of the evaluation in 27/28, PINS project oversight and set up of SY community of practice and the sharing and learning of the CYP Projects to conclude by Q4 25/26 with evaluation for PINS continuing into 26/27
4) MH and LDA portfolio directors to continue collaborative work towards the CYP Inpatient transformation programme, led by the Specialised Provider Collaborative
5) Delivery and implementation of agreed recommendations following the review around ASD/ADHD priorities. This will be ICB-led (Sheffield Place Deputy Director team) who will oversee the recommendations working closely with Provider Collaborative and other partners with some elements of the work to be completed by Q4 25/26 with implementation commencing 26/27 and remaining recommendations to be worked through in 26/27. 
6) Implement individual place programme plans by Q4 25/26</v>
      </c>
      <c r="T8" s="93" t="str">
        <f>VLOOKUP("*1.6.3.*",'[1]5 BAF'!$A$4:$AAD$4896,20,FALSE)</f>
        <v xml:space="preserve">September 2025 - The Review of CYP LDA programme to ensure alignment with provider collaborative led programmes has now concluded, with the outcome that Places will focus on local pathways and developments including phase 2 of the PINS project.
Significant work has been undertaken by the Provider Collaborative relating to the delivery of all-age ASD/ADHD workstream following review. it was agreed that there needed to be a more achievable and timely approach to addressing the challenges.  A proposed approach and recommendations has been agreed via a paper submitted to SLE in September.  This will be led by the ICB (Ian Atkinson’s team from Sheffield Place) who will oversee the recommendations agreed working closely with the Provider Collaborative and other partners.
The MHST teams from 2024/25 are now live in Doncaster and Barnsley. In addition, in 2025/26 financial year a further 4 MHSTs have been awarded as follows: 1x Doncaster, 1x Rotherham and 2x Sheffield – it is anticipated that these will help to further access to CYP mental health services over the coming years. On CYP mental health access targets during the 2025/26 planning round there was agreement on what items should be reported via the MHSDS and this is now in place across all places/providers. Best practice is shared via the SY ICB CYP Mental Health Steering Group and risks/mitigations are raised at the steering group as required.
February 2026 - 4 additional Wave 14 MHSTs agreed and beginning recruitment, CYP ED waiting times being met, continued improvements in access to CYP mental health services, keyworking service continuing with new model of working being implemented to improve efficiencies of the service, PINs rollout continues. Work on neurodiversity continues - system-wide approach to ADHD pathways under agreement, but there has been less focus on system-wide approaches to autism, with this work being predominantly completed at place level, with noted disparity of access between places. </v>
      </c>
      <c r="U8" s="93" t="str">
        <f>VLOOKUP("*1.6.3.*",'[1]5 BAF'!$A$4:$AAD$4896,21,FALSE)</f>
        <v>No</v>
      </c>
      <c r="V8" s="93" t="str">
        <f>VLOOKUP("*1.6.3.*",'[1]5 BAF'!$A$4:$AAD$4896,22,FALSE)</f>
        <v>03/10/2024
06/01/2025
20/01/2025
27/01/2025
03/03/2025
10/03/2025
27/03/2025
06/05/2025
10/06/2025
14/07/2025
22/09/2025
04/11/2025
09/02/2026</v>
      </c>
      <c r="W8" s="201">
        <f>VLOOKUP("*1.6.3.*",'[1]5 BAF'!$A$4:$AAD$4896,23,FALSE)</f>
        <v>46243</v>
      </c>
      <c r="X8" s="93" t="str">
        <f>VLOOKUP("*1.6.3.*",'[1]5 BAF'!$A$4:$AAD$4896,24,FALSE)</f>
        <v>Six-Monthly</v>
      </c>
      <c r="Y8" s="167" t="str">
        <f>VLOOKUP("*1.6.3.*",'[1]5 BAF'!$A$4:$AAD$4896,25,FALSE)</f>
        <v>Not overdue</v>
      </c>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row>
    <row r="9" spans="1:77" s="19" customFormat="1" ht="400" x14ac:dyDescent="0.4">
      <c r="A9" s="93" t="str">
        <f>VLOOKUP("*1.7*",'[1]5 BAF'!$A$4:$AAD$4896,1,FALSE)</f>
        <v>1.7.</v>
      </c>
      <c r="B9" s="93" t="str">
        <f>VLOOKUP("*1.7.*",'[1]5 BAF'!$A$4:$AAD$4896,2,FALSE)</f>
        <v>The ICB has a programme of work in place to strengthen and accelerate our focus on prevention and early identification that has a focus on where it can have the most impact in improving outcomes; 
i) on the four main modifiable risk factors of smoking, healthy weight (diet and physical activity), alcohol and hypertension, 
ii) improved management of long term conditions which are the main causes of premature mortality in South Yorkshire (cardiovascular and respiratory) in order to delay and prevent co-morbidity from occurring.</v>
      </c>
      <c r="C9" s="93" t="str">
        <f>VLOOKUP("*1.7.*",'[1]5 BAF'!$A$4:$AAD$4896,3,FALSE)</f>
        <v>Dr David Crichton 
Chief Medical Officer</v>
      </c>
      <c r="D9" s="93" t="str">
        <f>VLOOKUP("*1.7.*",'[1]5 BAF'!$A$4:$AAD$4896,4,FALSE)</f>
        <v>Lisa Wilkins
David Lautman</v>
      </c>
      <c r="E9" s="93" t="str">
        <f>VLOOKUP("*1.7.*",'[1]5 BAF'!$A$4:$AAD$4896,5,FALSE)</f>
        <v>Pop Health and Health Inequalities SDG, 
Place Committee</v>
      </c>
      <c r="F9" s="93" t="str">
        <f>VLOOKUP("*1.7.*",'[1]5 BAF'!$A$4:$AAD$4896,6,FALSE)</f>
        <v>Accountable</v>
      </c>
      <c r="G9" s="93" t="str">
        <f>VLOOKUP("*1.7.*",'[1]5 BAF'!$A$4:$AAD$4896,7,FALSE)</f>
        <v>South Yorkshire Joint Forward Plan</v>
      </c>
      <c r="H9" s="93" t="str">
        <f>VLOOKUP("*1.7.*",'[1]5 BAF'!$A$4:$AAD$4896,8,FALSE)</f>
        <v>SY044</v>
      </c>
      <c r="I9" s="93" t="str">
        <f>VLOOKUP("*1.7.*",'[1]5 BAF'!$A$4:$AAD$4896,9,FALSE)</f>
        <v xml:space="preserve">1) To give clear oversight Prevention and LTC papers detailing progress against JFP priorities will be  tabled at Pop Health and HI SDG and Board.
2) South Yorkshire wide work on prevention and LTC is led by the Prevention and Public Health Team (Medical Directorate) together with the Population Health Team (also in the Medical Directorate). The Prevention/Pop Health teams coordinate input to strategy development (linking with Place Transformation and Delivery Managers), directly lead on some programme delivery on behalf of the ICB across SY and support or coordinate other programmes which are primarily delivered via Places.  
3) The majority of the delivery of prevention/LTC transformation and delivery occurs at Place by the transformation teams and through Place partnerships. 
4) The South Yorkshire wide and Place priorities are informed by the Joint Forward Plan, NHS planning Guidance, Integrated Care Partnership's strategy and Place partnership strategies. In 25/26 we are expecting the publication of a 10 year Health Plan which will further guide this work. 
5) Physical Health and Prevention Programmes are further supported by the Clinical Programmes team at NHSE NEY Regional Team. 
</v>
      </c>
      <c r="J9" s="93" t="str">
        <f>VLOOKUP("*1.7.*",'[1]5 BAF'!$A$4:$AAD$4896,10,FALSE)</f>
        <v>1) x4 Place Partnership Committees
2) SY SDG Population Health and HI's
3) SY SDG Prevention &amp; LTC Subgroup</v>
      </c>
      <c r="K9" s="93" t="str">
        <f>VLOOKUP("*1.7.*",'[1]5 BAF'!$A$4:$AAD$4896,11,FALSE)</f>
        <v>NEY NHSE Regional meetings (NEY Prevention Board and NEY Physical Health Board)</v>
      </c>
      <c r="L9" s="165" t="str">
        <f>VLOOKUP("*1.7.*",'[1]5 BAF'!$A$4:$AAD$4896,12,FALSE)</f>
        <v>3 x 3 = 9</v>
      </c>
      <c r="M9" s="93" t="str">
        <f>VLOOKUP("*1.7.*",'[1]5 BAF'!$A$4:$AAD$4896,13,FALSE)</f>
        <v xml:space="preserve">1) Limited ICB budget for prevention, with system wide prevention initiatives predominately funded non recurrently leading to non sustainable services and difficulty with recruitment and retention of staff
2) SDF funding no longer ring fenced plus overall  financial position limiting funding for prevention and LTC transformation 
3) Limited ICB capacity to accelerate progress combined with (in some cases) non alignment of priorities across the Places +/- SY wide working resulting in slower progress than would otherwise be possible
4) System level prevention posts funded from non recurrent 'SDF' funding that is no longer ring fenced. Two fixed term extended to March 26. 3 people on secondment/GP contractor currently til end Dec but asking Exec next week to consider extended to end March 26
5) Lack of a SY clinical pathway for people with obesity resulting in unmet need and inability to comply with the existing and new NICE TAs for weight management related drugs. Huge risk to primary care capacity and to funding of costs of implementation of NICE TAs for weight management drugs, including Tirzepatide
6) Lack of an alcohol care team at DBTH. Risk to funding to the STH Alcohol team - awaiting confirmation that Trust funding.
7) Cardiac and pulmonary rehabilitation uptake/provision not meeting national targets and reduction in SDF funding limiting potential to address this
8) Unwarranted variation in care in primary care for primary and secondary prevention and lack of a SY wide approach and capacity to support practices to reduce the variation
</v>
      </c>
      <c r="N9" s="93" t="str">
        <f>VLOOKUP("*1.7.*",'[1]5 BAF'!$A$4:$AAD$4896,14,FALSE)</f>
        <v>1) Lack of clarity of accountability due to the combination of Place and SY wide working 
2) Organisational change resulting in likely loss of staff/capacity, loss organisational memory and possible change in governance structures</v>
      </c>
      <c r="O9" s="93" t="str">
        <f>VLOOKUP("*1.7.*",'[1]5 BAF'!$A$4:$AAD$4896,15,FALSE)</f>
        <v>1)Shift in mindset and resources to invest and support prevention and LTC management with recurrent funding and sufficient capacity to enable a step change on a sustainable basis at sufficient scale to have a population health impact.
2)Implementation of a SY approach to supporting practices that have the greatest unwarranted variation, which not only looks at clinical/holistic management but also the underlying structure and organisation of the practices. 
3)Awaiting national delivery plan / operating planning guidance. But ongoing work does all align with 10 year plan.</v>
      </c>
      <c r="P9" s="165" t="str">
        <f>VLOOKUP("*1.7.*",'[1]5 BAF'!$A$4:$AAD$4896,16,FALSE)</f>
        <v>3 x 3 = 9</v>
      </c>
      <c r="Q9" s="165" t="str">
        <f>VLOOKUP("*1.7.*",'[1]5 BAF'!$A$4:$AAD$4896,17,FALSE)</f>
        <v>Medium</v>
      </c>
      <c r="R9" s="93" t="str">
        <f>VLOOKUP("*1.7.*",'[1]5 BAF'!$A$4:$AAD$4896,18,FALSE)</f>
        <v>UCL Institute of Health Equity, England’s Widening Health Gap: Local Places Falling Behind and life expectancy falling.</v>
      </c>
      <c r="S9" s="93" t="str">
        <f>VLOOKUP("*1.7.*",'[1]5 BAF'!$A$4:$AAD$4896,19,FALSE)</f>
        <v>1) Codesign of a SY wide obesity clinical care pathway and implementation of the Tirzepatide and other NICE TAs for weight management drugs and development of supporting business case. Optional appraisal/business case to be presented to Executive by June 26.
2) Doncaster Place transformation colleagues to continue to work with RDASH and DBTH to remodel inpatient alcohol care services to an ACT model throughout 2025/6
3) Continue to liaise with STH regarding Trust internal funding for ACT and raise via contracting routethroughout 2025/6
4) Continue to work with Cardiac and Pulmonary rehabilitation teams to enhance pathways, raise awareness of CR/PR eligibility criteria in primary care, invest 'SDF' funding to increase skill mix of teams to avoid scarce specialist clinical team being spent on non clinical duties and increase the use of digital rehab. By end of March 26
5) Alignment of place / system priorities via the I&amp;V process - Q1 and Q2  25/26
6) Confirm extension of contracts for fixed term prevention / LTC posts, which may be delayed due to the recent announcement re: running cost reductions expected to be finalised by Q3 25/6
7) Ensure key focus of SY 10 year plan is on enhancing prevention and LTC management and includes the development of a SY approach that is sufficiently resources to support practices who have the greatest unwarranted variation. This may also require a review on whether practices in the most deprived areas require additional funding, throughout 2025/6
8) Confirm prevention/LTC SDF budget and move to recurrent rather than non recurrent funding, which may be delayed due to the recent announcement re: ICB cost reductions expected to be finalised by Q3 25/6</v>
      </c>
      <c r="T9" s="93" t="str">
        <f>VLOOKUP("*1.7.*",'[1]5 BAF'!$A$4:$AAD$4896,20,FALSE)</f>
        <v xml:space="preserve">June 2025 -  Financial challenges: SDF funding is no longer ringfenced for programmes of work which will potentially limited progress.
Limited SY wide and Place Transformation Capacity. 
Obesity transformation task group established in April 2025, project planning and HNA commenced; Information given to STH to support their internal ACT B'ness case; Awaiting confirmation of SDF funding; clinical lead and other prevention fixed term contracts extended to June 25; Consultant in PHM attending I&amp;V meetings to enhance connectivity with Place Deputy Directors; prevention/LTC 'stock check' underway.
Organisation change process being undertaken in line with the Strategic Commissioning direction within the ICB blueprint document. </v>
      </c>
      <c r="U9" s="93" t="str">
        <f>VLOOKUP("*1.7.*",'[1]5 BAF'!$A$4:$AAD$4896,21,FALSE)</f>
        <v>Repeat 360 internal Audit</v>
      </c>
      <c r="V9" s="93" t="str">
        <f>VLOOKUP("*1.7.*",'[1]5 BAF'!$A$4:$AAD$4896,22,FALSE)</f>
        <v>23/08/2024
22/11/2024
24/02/2025
10/04/2025
18/08/2025
24/11/2025
23/02/2026</v>
      </c>
      <c r="W9" s="201">
        <f>VLOOKUP("*1.7.*",'[1]5 BAF'!$A$4:$AAD$4896,23,FALSE)</f>
        <v>46165</v>
      </c>
      <c r="X9" s="93" t="str">
        <f>VLOOKUP("*1.7.*",'[1]5 BAF'!$A$4:$AAD$4896,24,FALSE)</f>
        <v>Quarterly</v>
      </c>
      <c r="Y9" s="167" t="str">
        <f>VLOOKUP("*1.7.*",'[1]5 BAF'!$A$4:$AAD$4896,25,FALSE)</f>
        <v>Not overdue</v>
      </c>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row>
    <row r="10" spans="1:77" s="19" customFormat="1" ht="380" x14ac:dyDescent="0.4">
      <c r="A10" s="93" t="str">
        <f>VLOOKUP("*1.8 - R*",'[1]5 BAF'!$A$4:$AAD$4896,1,FALSE)</f>
        <v>1.8 - R</v>
      </c>
      <c r="B10" s="93" t="str">
        <f>VLOOKUP("*1.8 - R*",'[1]5 BAF'!$A$4:$AAD$4896,2,FALSE)</f>
        <v>Primary care services are effective in Place.</v>
      </c>
      <c r="C10" s="93" t="str">
        <f>VLOOKUP("*1.8 - R*",'[1]5 BAF'!$A$4:$AAD$4896,3,FALSE)</f>
        <v xml:space="preserve">Anthony Fitzgerald
Doncaster / Rotherham Place Director
</v>
      </c>
      <c r="D10" s="93" t="str">
        <f>VLOOKUP("*1.8 - R*",'[1]5 BAF'!$A$4:$AAD$4896,4,FALSE)</f>
        <v xml:space="preserve">Claire Smith
</v>
      </c>
      <c r="E10" s="93" t="str">
        <f>VLOOKUP("*1.8 - R*",'[1]5 BAF'!$A$4:$AAD$4896,5,FALSE)</f>
        <v xml:space="preserve">System Leadership Executive Group supported by:
Place Committee  </v>
      </c>
      <c r="F10" s="93" t="str">
        <f>VLOOKUP("*1.8 - R*",'[1]5 BAF'!$A$4:$AAD$4896,6,FALSE)</f>
        <v>Accountable</v>
      </c>
      <c r="G10" s="93" t="str">
        <f>VLOOKUP("*1.8 - R*",'[1]5 BAF'!$A$4:$AAD$4896,7,FALSE)</f>
        <v>South Yorkshire Joint Forward Plan</v>
      </c>
      <c r="H10" s="93" t="str">
        <f>VLOOKUP("*1.8 - R*",'[1]5 BAF'!$A$4:$AAD$4896,8,FALSE)</f>
        <v>SY079, SY069, SY061, SY132, IL03</v>
      </c>
      <c r="I10" s="93" t="str">
        <f>VLOOKUP("*1.8 - R*",'[1]5 BAF'!$A$4:$AAD$4896,9,FALSE)</f>
        <v xml:space="preserve">1)Place Primary Care meetings; 
2)Primary Care Delivery Group chaired by Deputy Place Director, decisions record and may go through Place Executive Team (meets weekly) where appropriate. 
3)Oversight by Rotherham PLACE board
4) LMC officers meeting monthly supporting relationships and agreeing approaches collectively
5) Rotherham is now a pilot site for Neighbourhood working and have developed further membership of the Place board to include CD rep and there is an identified Place team to support the national pilot including several representatives from PC who have been voted in by PC colleagues democratically </v>
      </c>
      <c r="J10" s="93" t="str">
        <f>VLOOKUP("*1.8 - R*",'[1]5 BAF'!$A$4:$AAD$4896,10,FALSE)</f>
        <v>Operational Executive</v>
      </c>
      <c r="K10" s="93" t="str">
        <f>VLOOKUP("*1.8 - R*",'[1]5 BAF'!$A$4:$AAD$4896,11,FALSE)</f>
        <v>Annual update to Health Select committee</v>
      </c>
      <c r="L10" s="165" t="str">
        <f>VLOOKUP("*1.8 - R*",'[1]5 BAF'!$A$4:$AAD$4896,12,FALSE)</f>
        <v>3 x 3 = 9</v>
      </c>
      <c r="M10" s="93" t="str">
        <f>VLOOKUP("*1.8 - R*",'[1]5 BAF'!$A$4:$AAD$4896,13,FALSE)</f>
        <v xml:space="preserve">none identified </v>
      </c>
      <c r="N10" s="93" t="str">
        <f>VLOOKUP("*1.8 - R*",'[1]5 BAF'!$A$4:$AAD$4896,14,FALSE)</f>
        <v xml:space="preserve">none identified </v>
      </c>
      <c r="O10" s="93" t="str">
        <f>VLOOKUP("*1.8 - R*",'[1]5 BAF'!$A$4:$AAD$4896,15,FALSE)</f>
        <v xml:space="preserve">agreement on uplifts to ensure ending of collective action *relating to new resident drs potential strikes in future </v>
      </c>
      <c r="P10" s="166" t="str">
        <f>VLOOKUP("*1.8 - R*",'[1]5 BAF'!$A$4:$AAD$4896,16,FALSE)</f>
        <v>2 x 3 = 6</v>
      </c>
      <c r="Q10" s="167" t="str">
        <f>VLOOKUP("*1.8 - R*",'[1]5 BAF'!$A$4:$AAD$4896,17,FALSE)</f>
        <v>High</v>
      </c>
      <c r="R10" s="93" t="str">
        <f>VLOOKUP("*1.8 - R*",'[1]5 BAF'!$A$4:$AAD$4896,18,FALSE)</f>
        <v>Place Primary Care meetings; Primary Care Delivery Group chaired by Deputy Place Director, decisions record and may go through Place Executive Team (meets weekly) where appropriate. Oversight by Rotherham PLACE board. LMC officers meeting and attendance at CDs. Primary Care Place team fully recruited to supporting primary care. See above re addition in terms of engagement with PC on Neighbourhood national pilot. On 18th Oct Rotherham team attended the NHSE first event and are feeding back to Place colleagues in Nov Place board on the outcomes of this. This month (December) our partners signed the Compact and have began the work to provide communications regarding the programme and key messages. Jan work continues on INT with operational group agreeing key actions and outcomes. Place board update due January 2026. Further update in Feb with full development of actions plans across the three priority areas</v>
      </c>
      <c r="S10" s="93" t="str">
        <f>VLOOKUP("*1.8 - R*",'[1]5 BAF'!$A$4:$AAD$4896,19,FALSE)</f>
        <v>No gaps identified, no action required</v>
      </c>
      <c r="T10" s="93">
        <f>VLOOKUP("*1.8 - R*",'[1]5 BAF'!$A$4:$AAD$4896,20,FALSE)</f>
        <v>0</v>
      </c>
      <c r="U10" s="93" t="str">
        <f>VLOOKUP("*1.8 - R*",'[1]5 BAF'!$A$4:$AAD$4896,21,FALSE)</f>
        <v xml:space="preserve">Audit improvements in population health outcomes in 25/26 </v>
      </c>
      <c r="V10" s="93" t="str">
        <f>VLOOKUP("*1.8 - R*",'[1]5 BAF'!$A$4:$AAD$4896,22,FALSE)</f>
        <v>07/10/2024
11/11/2024
16/12/2024
06/01/2025
30/01/2025
03/03/2025
04/04/2025
06/05/2025
10/06/2025
14/07/2025
18/08/2025
21/08/2025
22/09/2025
01/10/2025
03/11/2025
04/11/2025
08/12/2025
12/01/2026
16/02/2026</v>
      </c>
      <c r="W10" s="201">
        <f>VLOOKUP("*1.8 - R*",'[1]5 BAF'!$A$4:$AAD$4896,23,FALSE)</f>
        <v>46250</v>
      </c>
      <c r="X10" s="93" t="str">
        <f>VLOOKUP("*1.8 - R*",'[1]5 BAF'!$A$4:$AAD$4896,24,FALSE)</f>
        <v>Six-Monthly</v>
      </c>
      <c r="Y10" s="167" t="str">
        <f>VLOOKUP("*1.8 - R*",'[1]5 BAF'!$A$4:$AAD$4896,25,FALSE)</f>
        <v>Not overdue</v>
      </c>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row>
    <row r="11" spans="1:77" s="82" customFormat="1" ht="40" x14ac:dyDescent="0.35">
      <c r="A11" s="234" t="s">
        <v>137</v>
      </c>
      <c r="B11" s="234"/>
      <c r="C11" s="14"/>
      <c r="D11" s="14"/>
      <c r="E11" s="14"/>
      <c r="F11" s="14"/>
      <c r="G11" s="14"/>
      <c r="H11" s="14"/>
      <c r="I11" s="14"/>
      <c r="J11" s="14"/>
      <c r="K11" s="14"/>
      <c r="L11" s="13" t="s">
        <v>136</v>
      </c>
      <c r="M11" s="80"/>
      <c r="N11" s="80"/>
      <c r="O11" s="13" t="s">
        <v>136</v>
      </c>
      <c r="P11" s="80"/>
      <c r="Q11" s="80"/>
      <c r="R11" s="80"/>
      <c r="S11" s="80"/>
      <c r="T11" s="81"/>
      <c r="U11" s="204"/>
      <c r="V11" s="204"/>
      <c r="W11" s="205"/>
      <c r="X11" s="204"/>
      <c r="Y11" s="204"/>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row>
    <row r="12" spans="1:77" s="19" customFormat="1" ht="300" x14ac:dyDescent="0.4">
      <c r="A12" s="93" t="str">
        <f>VLOOKUP("*2.1..*",'[1]5 BAF'!$A$4:$AAD$4896,1,FALSE)</f>
        <v>2.1..</v>
      </c>
      <c r="B12" s="93" t="str">
        <f>VLOOKUP("*2.1..*",'[1]5 BAF'!$A$4:$AAD$4896,2,FALSE)</f>
        <v xml:space="preserve">Through effective Place Partnership Plans, the ICB is tackling inequalities and moving towards greater self-care prevention and patient empowerment.   
</v>
      </c>
      <c r="C12" s="93" t="str">
        <f>VLOOKUP("*2.1..*",'[1]5 BAF'!$A$4:$AAD$4896,3,FALSE)</f>
        <v>Dr David Crichton 
Chief Medical Officer</v>
      </c>
      <c r="D12" s="93" t="str">
        <f>VLOOKUP("*2.1..*",'[1]5 BAF'!$A$4:$AAD$4896,4,FALSE)</f>
        <v>Lisa Kell</v>
      </c>
      <c r="E12" s="93" t="str">
        <f>VLOOKUP("*2.1..*",'[1]5 BAF'!$A$4:$AAD$4896,5,FALSE)</f>
        <v xml:space="preserve">Place Committees
</v>
      </c>
      <c r="F12" s="93" t="str">
        <f>VLOOKUP("*2.1..*",'[1]5 BAF'!$A$4:$AAD$4896,6,FALSE)</f>
        <v>Accountable</v>
      </c>
      <c r="G12" s="93" t="str">
        <f>VLOOKUP("*2.1..*",'[1]5 BAF'!$A$4:$AAD$4896,7,FALSE)</f>
        <v>South Yorkshire Joint Forward Plan / BAF 2023</v>
      </c>
      <c r="H12" s="93" t="str">
        <f>VLOOKUP("*2.1..*",'[1]5 BAF'!$A$4:$AAD$4896,8,FALSE)</f>
        <v xml:space="preserve">SY021, SY042, SY061, SY044 </v>
      </c>
      <c r="I12" s="93" t="str">
        <f>VLOOKUP("*2.1..*",'[1]5 BAF'!$A$4:$AAD$4896,9,FALSE)</f>
        <v>1) PHM SDG  
2) Digital Research Innovation (DRI) SDG 
3) ICS Constitution sets out statutory duties
4) ICS Engagement and Involvement Strategy and policies 
5) Place Communication &amp; Engagement Plan
6) Strong relationship with Healthwatch 
7) Health &amp; Wellbeing Board - local collaborative work to improve health outcomes and address health inequalities.   
8) Place Strategy and Place Delivery Plans
9) Integrated Care Partnership Strategy
10) Population Health Needs Assessment  
11) Joint Forward Plan - ICP strategy and comprehensive public engagement on population needs.  
12) SY Digital strategy to develop PHM infrastructure, i.e. shared data platform PHM digital tech and implementation across SY (both for direct patient care and service planning purposes).</v>
      </c>
      <c r="J12" s="93" t="str">
        <f>VLOOKUP("*2.1..*",'[1]5 BAF'!$A$4:$AAD$4896,10,FALSE)</f>
        <v>1) SY Population health SDG and 360 HI audit action plan Digital Research and innovation SDG.   
2) Outcomes framework and Dashboard
3) Integrated Care Strategy
4) x 4 Place Partnership Committees</v>
      </c>
      <c r="K12" s="93" t="str">
        <f>VLOOKUP("*2.1..*",'[1]5 BAF'!$A$4:$AAD$4896,11,FALSE)</f>
        <v>1)360 Internal Audit on HIs completed with  considerations , action plan developed and owned by Pop h SDG was presented at QPIE 8/8, Action plan progress to be presented to QPIE going forward  
2)NHSE Assurance Framework 
 3) CQC</v>
      </c>
      <c r="L12" s="165" t="str">
        <f>VLOOKUP("*2.1..*",'[1]5 BAF'!$A$4:$AAD$4896,12,FALSE)</f>
        <v xml:space="preserve">4 x 3 = 12
</v>
      </c>
      <c r="M12" s="93" t="str">
        <f>VLOOKUP("*2.1..*",'[1]5 BAF'!$A$4:$AAD$4896,13,FALSE)</f>
        <v xml:space="preserve">Recent announcements regarding NHSE and ICBs highlights uncertainty of the roles and functions going forward.  
Sufficient resources required to undertake the work required to facilitate work that reduces health inequalities and inequity of access ( investment £ and capacity / resources) </v>
      </c>
      <c r="N12" s="93" t="str">
        <f>VLOOKUP("*2.1..*",'[1]5 BAF'!$A$4:$AAD$4896,14,FALSE)</f>
        <v xml:space="preserve">Recent announcements regarding NHSE and ICBs highlights uncertainty of the roles and functions going forward.  
Sufficient resources required to undertake the work required to facilitate work that reduces health inequalities and inequity of access ( investment £ and capacity / resources) </v>
      </c>
      <c r="O12" s="93" t="str">
        <f>VLOOKUP("*2.1..*",'[1]5 BAF'!$A$4:$AAD$4896,15,FALSE)</f>
        <v>1) Health Care related Inequalities are clearly reported  in equivalence with other ICB Duties Through pop health outcomes framework and dashboard (within the Integrated Performance Report (IPR) 
2) Implementation of the 360 internal audit HIs action plan and annual HI internal audit, has taken longer than originally intended</v>
      </c>
      <c r="P12" s="165" t="str">
        <f>VLOOKUP("*2.1..*",'[1]5 BAF'!$A$4:$AAD$4896,16,FALSE)</f>
        <v>4 x 2 =  8</v>
      </c>
      <c r="Q12" s="165" t="str">
        <f>VLOOKUP("*2.1..*",'[1]5 BAF'!$A$4:$AAD$4896,17,FALSE)</f>
        <v>Medium</v>
      </c>
      <c r="R12" s="93" t="str">
        <f>VLOOKUP("*2.1..*",'[1]5 BAF'!$A$4:$AAD$4896,18,FALSE)</f>
        <v>This is one of the main ICB core aims and is embedded into all strategy and delivery plans across the ICS. Regularly discussed through the delivery group, place partnership meetings and the ICB Board</v>
      </c>
      <c r="S12" s="93" t="str">
        <f>VLOOKUP("*2.1..*",'[1]5 BAF'!$A$4:$AAD$4896,19,FALSE)</f>
        <v>Clear line-of-sight for Health Inequalities investment in the 2025/26  
Operating and Financial Plan - Final sign-off in April 2025  ICB Board
Refresh of ICB 5-year Joint Forward plan and we await the publication of the NHS 10 year plan expected May 2025
Input into the Change.NHS engagement in the 10 year health plan, implement the Plan from May 2025
 Effective Reporting of progress being made and mainstreaming in the updated Integrated Performance Report which will continued to be reviewed 6-monthly
 360 Internal Audit HI completed previously, progress report to be presented to QPIE by August 2025 
Successful Prevention accelerator bid, implementation meeting scheduled for early 2026.</v>
      </c>
      <c r="T12" s="93" t="str">
        <f>VLOOKUP("*2.1..*",'[1]5 BAF'!$A$4:$AAD$4896,20,FALSE)</f>
        <v>September 2025 - Opportunity for the ICB to express an interest in becoming a prevention accelerator.
Mar 26 - Target Operating Model developed and published with organisational change updates, move to a South Yorkshire approach from individual place leading work.
Developing Neighbourhood health models, Rotherham and Doncaster national pilot sites.   National framework published.</v>
      </c>
      <c r="U12" s="93" t="str">
        <f>VLOOKUP("*2.1..*",'[1]5 BAF'!$A$4:$AAD$4896,21,FALSE)</f>
        <v>RE-audit of the 360 work previously undertaken</v>
      </c>
      <c r="V12" s="93" t="str">
        <f>VLOOKUP("*2.1..*",'[1]5 BAF'!$A$4:$AAD$4896,22,FALSE)</f>
        <v>07/08/2024
11/11/2024
10/02/2025
31/03/2025
30/06/2025
29/09/2025
29/12/2025
27/03/2026</v>
      </c>
      <c r="W12" s="201">
        <f>VLOOKUP("*2.1..*",'[1]5 BAF'!$A$4:$AAD$4896,23,FALSE)</f>
        <v>46200</v>
      </c>
      <c r="X12" s="93" t="str">
        <f>VLOOKUP("*2.1..*",'[1]5 BAF'!$A$4:$AAD$4896,24,FALSE)</f>
        <v>Quarterly</v>
      </c>
      <c r="Y12" s="167" t="str">
        <f>VLOOKUP("*2.1..*",'[1]5 BAF'!$A$4:$AAD$4896,25,FALSE)</f>
        <v>Not overdue</v>
      </c>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row>
    <row r="13" spans="1:77" s="19" customFormat="1" ht="360" x14ac:dyDescent="0.4">
      <c r="A13" s="93" t="str">
        <f>VLOOKUP("*2.7.1 - R*",'[1]5 BAF'!$A$4:$AAD$4896,1,FALSE)</f>
        <v>2.7.1 - R</v>
      </c>
      <c r="B13" s="93" t="str">
        <f>VLOOKUP("*2.7.1 - R*",'[1]5 BAF'!$A$4:$AAD$4896,2,FALSE)</f>
        <v>The ICB works collaboratively with partners to improve health, care and reduce inequalities</v>
      </c>
      <c r="C13" s="93" t="str">
        <f>VLOOKUP("*2.7.1 - R*",'[1]5 BAF'!$A$4:$AAD$4896,3,FALSE)</f>
        <v xml:space="preserve">Anthony Fitzgerald
Doncaster / Rotherham Place Director
</v>
      </c>
      <c r="D13" s="93" t="str">
        <f>VLOOKUP("*2.7.1 - R*",'[1]5 BAF'!$A$4:$AAD$4896,4,FALSE)</f>
        <v xml:space="preserve">Claire Smith
</v>
      </c>
      <c r="E13" s="93" t="str">
        <f>VLOOKUP("*2.7.1 - R*",'[1]5 BAF'!$A$4:$AAD$4896,5,FALSE)</f>
        <v>Place Committee</v>
      </c>
      <c r="F13" s="93" t="str">
        <f>VLOOKUP("*2.7.1 - R*",'[1]5 BAF'!$A$4:$AAD$4896,6,FALSE)</f>
        <v>Accountable</v>
      </c>
      <c r="G13" s="93" t="str">
        <f>VLOOKUP("*2.7.1 - R*",'[1]5 BAF'!$A$4:$AAD$4896,7,FALSE)</f>
        <v>South Yorkshire Joint Forward Plan</v>
      </c>
      <c r="H13" s="93" t="str">
        <f>VLOOKUP("*2.7.1 - R*",'[1]5 BAF'!$A$4:$AAD$4896,8,FALSE)</f>
        <v>SY028, SY115, SY116, SY117, SY124,  SY079, SY113, SY021, SY040, SY082, SY044, SY066</v>
      </c>
      <c r="I13" s="93" t="str">
        <f>VLOOKUP("*2.7.1 - R*",'[1]5 BAF'!$A$4:$AAD$4896,9,FALSE)</f>
        <v>1) Rotherham Health and Care Place Plan details plans and is overseen by the Rotherham place board and the Health and Wellbeing board. 
2) Plan is also signed off by all statutory partners, VAR and Connect Healthcare.</v>
      </c>
      <c r="J13" s="93" t="str">
        <f>VLOOKUP("*2.7.1 - R*",'[1]5 BAF'!$A$4:$AAD$4896,10,FALSE)</f>
        <v xml:space="preserve">1) Rotherham Place ICB board sub committee. alongside the Place Plan there is a Population Health and Inequalities strategy developed through a steering group chaired by the public health Director and Deputy Place Director ICB - an action plan is monitored through this group and the Place Board / H&amp;WB. </v>
      </c>
      <c r="K13" s="93" t="str">
        <f>VLOOKUP("*2.7.1 - R*",'[1]5 BAF'!$A$4:$AAD$4896,11,FALSE)</f>
        <v>Rotherham Health and Welbeing Board</v>
      </c>
      <c r="L13" s="165" t="str">
        <f>VLOOKUP("*2.7.1 - R*",'[1]5 BAF'!$A$4:$AAD$4896,12,FALSE)</f>
        <v>3 x 4 = 12</v>
      </c>
      <c r="M13" s="93" t="str">
        <f>VLOOKUP("*2.7.1 - R*",'[1]5 BAF'!$A$4:$AAD$4896,13,FALSE)</f>
        <v>None identified</v>
      </c>
      <c r="N13" s="93" t="str">
        <f>VLOOKUP("*2.7.1 - R*",'[1]5 BAF'!$A$4:$AAD$4896,14,FALSE)</f>
        <v>None identified</v>
      </c>
      <c r="O13" s="93" t="str">
        <f>VLOOKUP("*2.7.1 - R*",'[1]5 BAF'!$A$4:$AAD$4896,15,FALSE)</f>
        <v xml:space="preserve">1)Delivery of Place Plan priorities and our Health Inequalities Strategy - action plan. Agreement on what Place Board looks like once changes have been implemented to meet the new ICB model
2)Delivery of key priorities with the H&amp;WB strategy
3)Continually holding partners to account for decisions made that impact our population 
4)Working in continued collaboration taking appropriate business through Place </v>
      </c>
      <c r="P13" s="166" t="str">
        <f>VLOOKUP("*2.7.1 - R*",'[1]5 BAF'!$A$4:$AAD$4896,16,FALSE)</f>
        <v>2 x 3 = 6</v>
      </c>
      <c r="Q13" s="165" t="str">
        <f>VLOOKUP("*2.7.1 - R*",'[1]5 BAF'!$A$4:$AAD$4896,17,FALSE)</f>
        <v>Medium</v>
      </c>
      <c r="R13" s="93" t="str">
        <f>VLOOKUP("*2.7.1 - R*",'[1]5 BAF'!$A$4:$AAD$4896,18,FALSE)</f>
        <v>Partnership approach and collaboration is well established and embedded in our Place governance however, the financial positions of organisations pose a risk to ensuring we work in collaboration to ensure health inequalities are addressed</v>
      </c>
      <c r="S13" s="93" t="str">
        <f>VLOOKUP("*2.7.1 - R*",'[1]5 BAF'!$A$4:$AAD$4896,19,FALSE)</f>
        <v>No gaps identified, no action required</v>
      </c>
      <c r="T13" s="93" t="str">
        <f>VLOOKUP("*2.7.1 - R*",'[1]5 BAF'!$A$4:$AAD$4896,20,FALSE)</f>
        <v>January 2025 - recommendation for this risk to be SY Wide
April 2025 -  Revision of health and care place plan, currently ongoing, to be completed by May 2025</v>
      </c>
      <c r="U13" s="93" t="str">
        <f>VLOOKUP("*2.7.1 - R*",'[1]5 BAF'!$A$4:$AAD$4896,21,FALSE)</f>
        <v>Audit outcomes, experience and access</v>
      </c>
      <c r="V13" s="93" t="str">
        <f>VLOOKUP("*2.7.1 - R*",'[1]5 BAF'!$A$4:$AAD$4896,22,FALSE)</f>
        <v>07/10/2024
11/11/2024
16/12/2024
06/01/2025
30/01/2025
03/03/2025
04/04/2025
06/05/2025
10/06/2025
14/07/2025
18/08/2025
21/08/2025
22/09/2025
01/10/2025
03/11/2025
04/11/2025
08/12/2025
16/02/2026</v>
      </c>
      <c r="W13" s="201">
        <f>VLOOKUP("*2.7.1 - R*",'[1]5 BAF'!$A$4:$AAD$4896,23,FALSE)</f>
        <v>46250</v>
      </c>
      <c r="X13" s="93" t="str">
        <f>VLOOKUP("*2.7.1 - R*",'[1]5 BAF'!$A$4:$AAD$4896,24,FALSE)</f>
        <v>Six-Monthly</v>
      </c>
      <c r="Y13" s="167" t="str">
        <f>VLOOKUP("*2.7.1 - R*",'[1]5 BAF'!$A$4:$AAD$4896,25,FALSE)</f>
        <v>Not overdue</v>
      </c>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row>
    <row r="14" spans="1:77" s="19" customFormat="1" ht="380" x14ac:dyDescent="0.4">
      <c r="A14" s="93" t="str">
        <f>VLOOKUP("*2.12 - R*",'[1]5 BAF'!$A$4:$AAD$4896,1,FALSE)</f>
        <v>2.12 - R</v>
      </c>
      <c r="B14" s="93" t="str">
        <f>VLOOKUP("*2.12 - R*",'[1]5 BAF'!$A$4:$AAD$4896,2,FALSE)</f>
        <v>Integrated services supporting people in the community are working well</v>
      </c>
      <c r="C14" s="93" t="str">
        <f>VLOOKUP("*2.12 - R*",'[1]5 BAF'!$A$4:$AAD$4896,3,FALSE)</f>
        <v xml:space="preserve">Anthony Fitzgerald
Doncaster / Rotherham Place Director
</v>
      </c>
      <c r="D14" s="93" t="str">
        <f>VLOOKUP("*2.12 - R*",'[1]5 BAF'!$A$4:$AAD$4896,4,FALSE)</f>
        <v xml:space="preserve">Claire Smith
</v>
      </c>
      <c r="E14" s="93" t="str">
        <f>VLOOKUP("*2.12 - R*",'[1]5 BAF'!$A$4:$AAD$4896,5,FALSE)</f>
        <v>ICB Place Committees</v>
      </c>
      <c r="F14" s="93" t="str">
        <f>VLOOKUP("*2.12 - R*",'[1]5 BAF'!$A$4:$AAD$4896,6,FALSE)</f>
        <v>Accountable</v>
      </c>
      <c r="G14" s="93" t="str">
        <f>VLOOKUP("*2.12 - R*",'[1]5 BAF'!$A$4:$AAD$4896,7,FALSE)</f>
        <v>South Yorkshire Joint Forward Plan</v>
      </c>
      <c r="H14" s="93" t="str">
        <f>VLOOKUP("*2.12 - R*",'[1]5 BAF'!$A$4:$AAD$4896,8,FALSE)</f>
        <v xml:space="preserve">SY069, SY107, IL17 </v>
      </c>
      <c r="I14" s="93" t="str">
        <f>VLOOKUP("*2.12 - R*",'[1]5 BAF'!$A$4:$AAD$4896,9,FALSE)</f>
        <v xml:space="preserve">1) Rotherham Health and Care Place Plan details plans and is overseen by the Rotherham place board and the Health and Wellbeing board. 
2) Plan is also signed off by all statutory partners, VAR and Connect Healthcare. 
3) Better Care Fund utilised appropriately with governance arrangements in place to promote integrated services in H&amp;SC - positive feedback from our submissions annually
</v>
      </c>
      <c r="J14" s="93" t="str">
        <f>VLOOKUP("*2.12 - R*",'[1]5 BAF'!$A$4:$AAD$4896,10,FALSE)</f>
        <v>Rotherham Place ICB board sub committee audit taken place and slight amends to governance enacted</v>
      </c>
      <c r="K14" s="93" t="str">
        <f>VLOOKUP("*2.12 - R*",'[1]5 BAF'!$A$4:$AAD$4896,11,FALSE)</f>
        <v>Rotherham Health and Welbeing Board</v>
      </c>
      <c r="L14" s="165" t="str">
        <f>VLOOKUP("*2.12 - R*",'[1]5 BAF'!$A$4:$AAD$4896,12,FALSE)</f>
        <v>3 x 4 = 12</v>
      </c>
      <c r="M14" s="93" t="str">
        <f>VLOOKUP("*2.12 - R*",'[1]5 BAF'!$A$4:$AAD$4896,13,FALSE)</f>
        <v xml:space="preserve">Gaps in control are currently unknown </v>
      </c>
      <c r="N14" s="93" t="str">
        <f>VLOOKUP("*2.12 - R*",'[1]5 BAF'!$A$4:$AAD$4896,14,FALSE)</f>
        <v>Gaps in assurance are currently unknown</v>
      </c>
      <c r="O14" s="93" t="str">
        <f>VLOOKUP("*2.12 - R*",'[1]5 BAF'!$A$4:$AAD$4896,15,FALSE)</f>
        <v>1)Integrated neighbourhood team development - now one of national pilot sites 
2)Community services transformation
3)Urgent community response
4)Palliative and end of life care</v>
      </c>
      <c r="P14" s="166" t="str">
        <f>VLOOKUP("*2.12 - R*",'[1]5 BAF'!$A$4:$AAD$4896,16,FALSE)</f>
        <v>2 x 3 = 6</v>
      </c>
      <c r="Q14" s="165" t="str">
        <f>VLOOKUP("*2.12 - R*",'[1]5 BAF'!$A$4:$AAD$4896,17,FALSE)</f>
        <v>Medium</v>
      </c>
      <c r="R14" s="93" t="str">
        <f>VLOOKUP("*2.12 - R*",'[1]5 BAF'!$A$4:$AAD$4896,18,FALSE)</f>
        <v xml:space="preserve">workforce and appropriate training are key to ability to integrate services, there are risk in the system due to gaps in our collective workforce. work is underway to support roles that can span both H&amp;SC
</v>
      </c>
      <c r="S14" s="93" t="str">
        <f>VLOOKUP("*2.12 - R*",'[1]5 BAF'!$A$4:$AAD$4896,19,FALSE)</f>
        <v xml:space="preserve">Actions agreed for community review in terms of BAU for trust and those that require Place partner support or leading through transformation workstreams throughout Q3 and Q4 25/26 - Community review work continues and has now been extended to cover CYP. </v>
      </c>
      <c r="T14" s="93" t="str">
        <f>VLOOKUP("*2.12 - R*",'[1]5 BAF'!$A$4:$AAD$4896,20,FALSE)</f>
        <v>November 2025-  actions agreed for community review in terms of BAU for trust and those that require Place partner support or leading through transformation workstreams throughout Q3 and Q4 25/26</v>
      </c>
      <c r="U14" s="93" t="str">
        <f>VLOOKUP("*2.12 - R*",'[1]5 BAF'!$A$4:$AAD$4896,21,FALSE)</f>
        <v>No</v>
      </c>
      <c r="V14" s="93" t="str">
        <f>VLOOKUP("*2.12 - R*",'[1]5 BAF'!$A$4:$AAD$4896,22,FALSE)</f>
        <v>07/10/2024
11/11/2024
16/12/2024
06/01/2025
30/07/2025
03/03/2025
04/04/2025
06/05/2025
10/06/2025
14/07/2025
18/08/2025
21/08/2025
22/09/2025
01/10/2025
03/11/2025
04/11/2025
08/12/2025
12/01/2026
16/02/2026</v>
      </c>
      <c r="W14" s="201">
        <f>VLOOKUP("*2.12 - R*",'[1]5 BAF'!$A$4:$AAD$4896,23,FALSE)</f>
        <v>46250</v>
      </c>
      <c r="X14" s="93" t="str">
        <f>VLOOKUP("*2.12 - R*",'[1]5 BAF'!$A$4:$AAD$4896,24,FALSE)</f>
        <v>Six-monthly</v>
      </c>
      <c r="Y14" s="167" t="str">
        <f>VLOOKUP("*2.12 - R*",'[1]5 BAF'!$A$4:$AAD$4896,25,FALSE)</f>
        <v>Not overdue</v>
      </c>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row>
    <row r="15" spans="1:77" s="85" customFormat="1" ht="40" x14ac:dyDescent="0.4">
      <c r="A15" s="235" t="s">
        <v>138</v>
      </c>
      <c r="B15" s="235"/>
      <c r="C15" s="11"/>
      <c r="D15" s="11"/>
      <c r="E15" s="11"/>
      <c r="F15" s="11"/>
      <c r="G15" s="11"/>
      <c r="H15" s="11"/>
      <c r="I15" s="11"/>
      <c r="J15" s="11"/>
      <c r="K15" s="12"/>
      <c r="L15" s="13" t="s">
        <v>136</v>
      </c>
      <c r="M15" s="83"/>
      <c r="N15" s="83"/>
      <c r="O15" s="13" t="s">
        <v>136</v>
      </c>
      <c r="P15" s="83"/>
      <c r="Q15" s="83"/>
      <c r="R15" s="83"/>
      <c r="S15" s="83"/>
      <c r="T15" s="84"/>
      <c r="U15" s="202"/>
      <c r="V15" s="202"/>
      <c r="W15" s="203"/>
      <c r="X15" s="202"/>
      <c r="Y15" s="202"/>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row>
    <row r="16" spans="1:77" s="19" customFormat="1" ht="280" x14ac:dyDescent="0.4">
      <c r="A16" s="93" t="str">
        <f>VLOOKUP("*3.9*",'[1]5 BAF'!$A$4:$AAD$4896,1,FALSE)</f>
        <v>3.9.</v>
      </c>
      <c r="B16" s="93" t="str">
        <f>VLOOKUP("*3.9*",'[1]5 BAF'!$A$4:$AAD$4896,2,FALSE)</f>
        <v>The ICB effectively uses of digital and data to better understand and enable transformation of productivity and VfM in health and care delivery</v>
      </c>
      <c r="C16" s="93" t="str">
        <f>VLOOKUP("*3.9*",'[1]5 BAF'!$A$4:$AAD$4896,3,FALSE)</f>
        <v>Dr David Crichton 
Chief Medical Officer</v>
      </c>
      <c r="D16" s="93" t="str">
        <f>VLOOKUP("*3.9*",'[1]5 BAF'!$A$4:$AAD$4896,4,FALSE)</f>
        <v>Kieran Baker</v>
      </c>
      <c r="E16" s="93" t="str">
        <f>VLOOKUP("*3.9*",'[1]5 BAF'!$A$4:$AAD$4896,5,FALSE)</f>
        <v>ICB Board
IG Group (Covering Cyber, Digital and Data Security, Clinical Safety)
Place Committees
Quality Performance Patient Involvement Experience (QPPIE)</v>
      </c>
      <c r="F16" s="93" t="str">
        <f>VLOOKUP("*3.9*",'[1]5 BAF'!$A$4:$AAD$4896,6,FALSE)</f>
        <v>Accountable</v>
      </c>
      <c r="G16" s="93" t="str">
        <f>VLOOKUP("*3.9*",'[1]5 BAF'!$A$4:$AAD$4896,7,FALSE)</f>
        <v>South Yorkshire Joint Forward Plan</v>
      </c>
      <c r="H16" s="93" t="str">
        <f>VLOOKUP("*3.9*",'[1]5 BAF'!$A$4:$AAD$4896,8,FALSE)</f>
        <v>SY044; SY061</v>
      </c>
      <c r="I16" s="93" t="str">
        <f>VLOOKUP("*3.9*",'[1]5 BAF'!$A$4:$AAD$4896,9,FALSE)</f>
        <v xml:space="preserve">1) ICS Data and Insight Strategy
2) ICS Digital Strategy
3) Digital, Research and Innovation SDG
4) ICS Cyber Strategy
</v>
      </c>
      <c r="J16" s="93" t="str">
        <f>VLOOKUP("*3.9*",'[1]5 BAF'!$A$4:$AAD$4896,10,FALSE)</f>
        <v>1) Digital, Data and Technology Delivery Oversight Group
2) South Yorkshire Cyber Forum</v>
      </c>
      <c r="K16" s="93" t="str">
        <f>VLOOKUP("*3.9*",'[1]5 BAF'!$A$4:$AAD$4896,11,FALSE)</f>
        <v>1) 360 Audit - Data Strategy
2) 360 Audit - Data Quality and Performance Management
3) NHSE NEY Digital Transformation Programme</v>
      </c>
      <c r="L16" s="166" t="str">
        <f>VLOOKUP("*3.9*",'[1]5 BAF'!$A$4:$AAD$4896,12,FALSE)</f>
        <v>2 x 2 = 4</v>
      </c>
      <c r="M16" s="93" t="str">
        <f>VLOOKUP("*3.9*",'[1]5 BAF'!$A$4:$AAD$4896,13,FALSE)</f>
        <v>No gaps identified</v>
      </c>
      <c r="N16" s="93" t="str">
        <f>VLOOKUP("*3.9*",'[1]5 BAF'!$A$4:$AAD$4896,14,FALSE)</f>
        <v>No gaps identified</v>
      </c>
      <c r="O16" s="93" t="str">
        <f>VLOOKUP("*3.9*",'[1]5 BAF'!$A$4:$AAD$4896,15,FALSE)</f>
        <v>1) Development of analytical approach to population health management (Initiative 5 of the ICS Data and Insight Strategy)
2) Improvement in scope and standardisation of Shared Care Records in South Yorkshire.
3) Roll-out Eclipse Risk Stratification across South Yorkshire
4) Ingestion of Primary Care (GP) data into the South Yorkshire Data Platform to support data linkage and better understanding of patient health and care requirements to support improved decision-making.</v>
      </c>
      <c r="P16" s="167" t="str">
        <f>VLOOKUP("*3.9*",'[1]5 BAF'!$A$4:$AAD$4896,16,FALSE)</f>
        <v>2 x 1 = 2</v>
      </c>
      <c r="Q16" s="165" t="str">
        <f>VLOOKUP("*3.9*",'[1]5 BAF'!$A$4:$AAD$4896,17,FALSE)</f>
        <v>Medium</v>
      </c>
      <c r="R16" s="93" t="str">
        <f>VLOOKUP("*3.9*",'[1]5 BAF'!$A$4:$AAD$4896,18,FALSE)</f>
        <v>Work continuing through the Improvement and Value Group, led by Lee Outhwaite to ensure that we are utilising our data effectively to enable insight-driven decision-making. New analytical products are being built alongside place colleagues so that opportunities for improvement can be identified. Also, work is taking place PMO to improve reporting of benefits alongside transformation activities.</v>
      </c>
      <c r="S16" s="93" t="str">
        <f>VLOOKUP("*3.9*",'[1]5 BAF'!$A$4:$AAD$4896,19,FALSE)</f>
        <v xml:space="preserve">No gaps identified at this time, no action required.  </v>
      </c>
      <c r="T16" s="93" t="str">
        <f>VLOOKUP("*3.9*",'[1]5 BAF'!$A$4:$AAD$4896,20,FALSE)</f>
        <v>January 2026 - DDaT Workforce and Skills strategy has been approved, and the ICS Digital Strategy has also been approved. Both strategies are pending comms and publications on the ICS website. Delivery will be planned over the coming months with further understanding of where digital work will be lead following Model ICB reconfiguration.</v>
      </c>
      <c r="U16" s="93" t="str">
        <f>VLOOKUP("*3.9*",'[1]5 BAF'!$A$4:$AAD$4896,21,FALSE)</f>
        <v xml:space="preserve">
No</v>
      </c>
      <c r="V16" s="93" t="str">
        <f>VLOOKUP("*3.9*",'[1]5 BAF'!$A$4:$AAD$4896,22,FALSE)</f>
        <v>21/10/2024
13/03/2025
27/03/2025
30/06/2025
07/10/2025
05/01/2026</v>
      </c>
      <c r="W16" s="201">
        <f>VLOOKUP("*3.9*",'[1]5 BAF'!$A$4:$AAD$4896,23,FALSE)</f>
        <v>46392</v>
      </c>
      <c r="X16" s="93" t="str">
        <f>VLOOKUP("*3.9*",'[1]5 BAF'!$A$4:$AAD$4896,24,FALSE)</f>
        <v>Annually</v>
      </c>
      <c r="Y16" s="167" t="str">
        <f>VLOOKUP("*3.9*",'[1]5 BAF'!$A$4:$AAD$4896,25,FALSE)</f>
        <v>Not overdue</v>
      </c>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row>
    <row r="17" spans="1:77" s="19" customFormat="1" ht="260" x14ac:dyDescent="0.4">
      <c r="A17" s="93" t="str">
        <f>VLOOKUP("*3.10*",'[1]5 BAF'!$A$4:$AAD$4896,1,FALSE)</f>
        <v xml:space="preserve">3.10. </v>
      </c>
      <c r="B17" s="93" t="str">
        <f>VLOOKUP("*3.10*",'[1]5 BAF'!$A$4:$AAD$4896,2,FALSE)</f>
        <v xml:space="preserve">The ICB is improving digital inclusion to ensure optimal use of digital and data solutions for our citizens and wider population
</v>
      </c>
      <c r="C17" s="93" t="str">
        <f>VLOOKUP("*3.10*",'[1]5 BAF'!$A$4:$AAD$4896,3,FALSE)</f>
        <v>Dr David Crichton 
Chief Medical Officer</v>
      </c>
      <c r="D17" s="93" t="str">
        <f>VLOOKUP("*3.10*",'[1]5 BAF'!$A$4:$AAD$4896,4,FALSE)</f>
        <v>Kieran Baker</v>
      </c>
      <c r="E17" s="93" t="str">
        <f>VLOOKUP("*3.10*",'[1]5 BAF'!$A$4:$AAD$4896,5,FALSE)</f>
        <v>ICB Board
IG Group (Covering Cyber, Digital and Data Security, Clinical Safety)
Place Committees
Quality Performance Patient Involvement Experience (QPPIE)</v>
      </c>
      <c r="F17" s="93" t="str">
        <f>VLOOKUP("*3.10*",'[1]5 BAF'!$A$4:$AAD$4896,6,FALSE)</f>
        <v>Accountable</v>
      </c>
      <c r="G17" s="93" t="str">
        <f>VLOOKUP("*3.10*",'[1]5 BAF'!$A$4:$AAD$4896,7,FALSE)</f>
        <v>South Yorkshire Joint Forward Plan</v>
      </c>
      <c r="H17" s="93" t="str">
        <f>VLOOKUP("*3.10*",'[1]5 BAF'!$A$4:$AAD$4896,8,FALSE)</f>
        <v>SY044; SY061</v>
      </c>
      <c r="I17" s="93" t="str">
        <f>VLOOKUP("*3.10*",'[1]5 BAF'!$A$4:$AAD$4896,9,FALSE)</f>
        <v xml:space="preserve">1) ICS Data and Insight Strategy
2) ICS Digital Strategy
3) ICS Cyber Strategy
4) Digital, Research and Innovation SDG
</v>
      </c>
      <c r="J17" s="93" t="str">
        <f>VLOOKUP("*3.10*",'[1]5 BAF'!$A$4:$AAD$4896,10,FALSE)</f>
        <v>Digital, Data and Technology Delivery Oversight Group</v>
      </c>
      <c r="K17" s="93" t="str">
        <f>VLOOKUP("*3.10*",'[1]5 BAF'!$A$4:$AAD$4896,11,FALSE)</f>
        <v xml:space="preserve">1) NHSE NEY Digital Transformation Programme
2) Primary Care Alliance
3) SY Digital Inclusion Audit
</v>
      </c>
      <c r="L17" s="166" t="str">
        <f>VLOOKUP("*3.10*",'[1]5 BAF'!$A$4:$AAD$4896,12,FALSE)</f>
        <v>2 x 2 = 4</v>
      </c>
      <c r="M17" s="93" t="str">
        <f>VLOOKUP("*3.10*",'[1]5 BAF'!$A$4:$AAD$4896,13,FALSE)</f>
        <v xml:space="preserve">1) Ongoing commitment to a Digital Inclusion programme with a fully-funded annual programme to support the 10 year plan which expects a digital-first NHS.
2)  Public ability to seek support from services available throughout SY via VCSE due to a lack of central coordinated service catalogue from across all four places. </v>
      </c>
      <c r="N17" s="93" t="str">
        <f>VLOOKUP("*3.10*",'[1]5 BAF'!$A$4:$AAD$4896,14,FALSE)</f>
        <v>No gaps in assurance</v>
      </c>
      <c r="O17" s="93" t="str">
        <f>VLOOKUP("*3.10*",'[1]5 BAF'!$A$4:$AAD$4896,15,FALSE)</f>
        <v>Creating a standardised approach across all four places for supporting our South Yorkshire population navigate an increasingly digital society between 2024 and 2026</v>
      </c>
      <c r="P17" s="167" t="str">
        <f>VLOOKUP("*3.10*",'[1]5 BAF'!$A$4:$AAD$4896,16,FALSE)</f>
        <v>2 x 1 = 2</v>
      </c>
      <c r="Q17" s="167" t="str">
        <f>VLOOKUP("*3.10*",'[1]5 BAF'!$A$4:$AAD$4896,17,FALSE)</f>
        <v>High</v>
      </c>
      <c r="R17" s="93" t="str">
        <f>VLOOKUP("*3.10*",'[1]5 BAF'!$A$4:$AAD$4896,18,FALSE)</f>
        <v xml:space="preserve">Dedicated programmes of work supporting development of this agenda are being reviewed and shared with Board. Working closely with VCSE alliance on a new digital offer for our public. Improvements to adoption of tools such as GP Online Registration and NHSApp.
</v>
      </c>
      <c r="S17" s="93" t="str">
        <f>VLOOKUP("*3.10*",'[1]5 BAF'!$A$4:$AAD$4896,19,FALSE)</f>
        <v xml:space="preserve">1. Attain support for the Digital Transformation the strategy, which outlines the importance of Digital Inclusion, from System Leaders Executive by end of October 2025
2) There is a need to review the implementation plan with SY partners in light of the Model ICB to determine which organisation will lead on specific programmes (including digital inclusion) outlined within the strategy by end of Q4 25/26
3)  Develop a single, AI-drive service finder tool that the public can use to find VSCE services to support self-care. This is currently being piloted through the Growth Accelerator Hub.
4) Identify recurrent funding for the Digital Inclusion agenda to support analogue to digital set out in the 10 year plan, with a specific aim of helping the public better utilise a digital NHS, by Q4 25/26
</v>
      </c>
      <c r="T17" s="93" t="str">
        <f>VLOOKUP("*3.10*",'[1]5 BAF'!$A$4:$AAD$4896,20,FALSE)</f>
        <v>05/01/2026 - All strategies now approved and pending publication on the ICS website. Delivery will commence once we have better clarity on how digital will be led following Model ICB implementation. The ICB remains part of the national Copilot trial and hence will have licenses paid for NHSE until March 2027. The DDaT Team will continue to build the AI Adoption Framework to support partners to adopt AI tools to improve productivity and outcomes.</v>
      </c>
      <c r="U17" s="93" t="str">
        <f>VLOOKUP("*3.10*",'[1]5 BAF'!$A$4:$AAD$4896,21,FALSE)</f>
        <v xml:space="preserve">
No</v>
      </c>
      <c r="V17" s="93" t="str">
        <f>VLOOKUP("*3.10*",'[1]5 BAF'!$A$4:$AAD$4896,22,FALSE)</f>
        <v>20/01/2025
13/03/2025
19/03/2025
30/06/2025
18/08/2025
07/10/2025
05/01/2026</v>
      </c>
      <c r="W17" s="201">
        <f>VLOOKUP("*3.10*",'[1]5 BAF'!$A$4:$AAD$4896,23,FALSE)</f>
        <v>46392</v>
      </c>
      <c r="X17" s="93" t="str">
        <f>VLOOKUP("*3.10*",'[1]5 BAF'!$A$4:$AAD$4896,24,FALSE)</f>
        <v>Annually</v>
      </c>
      <c r="Y17" s="167" t="str">
        <f>VLOOKUP("*3.10*",'[1]5 BAF'!$A$4:$AAD$4896,25,FALSE)</f>
        <v>Not overdue</v>
      </c>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row>
    <row r="18" spans="1:77" s="85" customFormat="1" ht="40" x14ac:dyDescent="0.4">
      <c r="A18" s="235" t="s">
        <v>139</v>
      </c>
      <c r="B18" s="235"/>
      <c r="C18" s="11"/>
      <c r="D18" s="11"/>
      <c r="E18" s="11"/>
      <c r="F18" s="11"/>
      <c r="G18" s="11"/>
      <c r="H18" s="11"/>
      <c r="I18" s="11"/>
      <c r="J18" s="11"/>
      <c r="K18" s="12"/>
      <c r="L18" s="13" t="s">
        <v>136</v>
      </c>
      <c r="M18" s="83"/>
      <c r="N18" s="83"/>
      <c r="O18" s="13" t="s">
        <v>136</v>
      </c>
      <c r="P18" s="83"/>
      <c r="Q18" s="83"/>
      <c r="R18" s="83"/>
      <c r="S18" s="83"/>
      <c r="T18" s="84"/>
      <c r="U18" s="202"/>
      <c r="V18" s="202"/>
      <c r="W18" s="203"/>
      <c r="X18" s="202"/>
      <c r="Y18" s="202"/>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row>
    <row r="19" spans="1:77" s="19" customFormat="1" ht="380" x14ac:dyDescent="0.4">
      <c r="A19" s="93" t="str">
        <f>VLOOKUP("*4.9 - R*",'[1]5 BAF'!$A$4:$AAD$4896,1,FALSE)</f>
        <v>4.9 - R</v>
      </c>
      <c r="B19" s="93" t="str">
        <f>VLOOKUP("*4.9 - R*",'[1]5 BAF'!$A$4:$AAD$4896,2,FALSE)</f>
        <v>Our work with people and communities is effective</v>
      </c>
      <c r="C19" s="93" t="str">
        <f>VLOOKUP("*4.9 - R*",'[1]5 BAF'!$A$4:$AAD$4896,3,FALSE)</f>
        <v xml:space="preserve">Anthony Fitzgerald
Doncaster / Rotherham Place Director
</v>
      </c>
      <c r="D19" s="93" t="str">
        <f>VLOOKUP("*4.9 - R*",'[1]5 BAF'!$A$4:$AAD$4896,4,FALSE)</f>
        <v xml:space="preserve">Claire Smith
</v>
      </c>
      <c r="E19" s="93" t="str">
        <f>VLOOKUP("*4.9 - R*",'[1]5 BAF'!$A$4:$AAD$4896,5,FALSE)</f>
        <v xml:space="preserve">Place Committees
</v>
      </c>
      <c r="F19" s="93" t="str">
        <f>VLOOKUP("*4.9 - R*",'[1]5 BAF'!$A$4:$AAD$4896,6,FALSE)</f>
        <v>Accountable</v>
      </c>
      <c r="G19" s="93" t="str">
        <f>VLOOKUP("*4.9 - R*",'[1]5 BAF'!$A$4:$AAD$4896,7,FALSE)</f>
        <v>South Yorkshire Joint Forward Plan</v>
      </c>
      <c r="H19" s="93" t="str">
        <f>VLOOKUP("*4.9 - R*",'[1]5 BAF'!$A$4:$AAD$4896,8,FALSE)</f>
        <v>No link</v>
      </c>
      <c r="I19" s="93" t="str">
        <f>VLOOKUP("*4.9 - R*",'[1]5 BAF'!$A$4:$AAD$4896,9,FALSE)</f>
        <v>1) ICB Involvement Team &amp; wider network
2) Places, Provider Collaboratives and Alliances
3) Rotherham Chief Execs meeting</v>
      </c>
      <c r="J19" s="93" t="str">
        <f>VLOOKUP("*4.9 - R*",'[1]5 BAF'!$A$4:$AAD$4896,10,FALSE)</f>
        <v>Rotherham Place ICB board sub committee</v>
      </c>
      <c r="K19" s="93" t="str">
        <f>VLOOKUP("*4.9 - R*",'[1]5 BAF'!$A$4:$AAD$4896,11,FALSE)</f>
        <v>Health and Wellbeing Board.</v>
      </c>
      <c r="L19" s="165" t="str">
        <f>VLOOKUP("*4.9 - R*",'[1]5 BAF'!$A$4:$AAD$4896,12,FALSE)</f>
        <v>3 x 4 = 12</v>
      </c>
      <c r="M19" s="93" t="str">
        <f>VLOOKUP("*4.9 - R*",'[1]5 BAF'!$A$4:$AAD$4896,13,FALSE)</f>
        <v>A robust plan for all transformation/commissioning activity is needed which incorporates engagement with communities</v>
      </c>
      <c r="N19" s="93" t="str">
        <f>VLOOKUP("*4.9 - R*",'[1]5 BAF'!$A$4:$AAD$4896,14,FALSE)</f>
        <v>EQIA completion for all activity that requires one</v>
      </c>
      <c r="O19" s="93" t="str">
        <f>VLOOKUP("*4.9 - R*",'[1]5 BAF'!$A$4:$AAD$4896,15,FALSE)</f>
        <v>1)Put the voices of people and communities into decision making
2)Embed mechanisms to enable citizen involvement to play a key role in the system focus on tackling health inequalities
3)Work with people and communities on the priorities identified in JFP</v>
      </c>
      <c r="P19" s="166" t="str">
        <f>VLOOKUP("*4.9 - R*",'[1]5 BAF'!$A$4:$AAD$4896,16,FALSE)</f>
        <v>2 x 3 = 6</v>
      </c>
      <c r="Q19" s="165" t="str">
        <f>VLOOKUP("*4.9 - R*",'[1]5 BAF'!$A$4:$AAD$4896,17,FALSE)</f>
        <v>Medium</v>
      </c>
      <c r="R19" s="93" t="str">
        <f>VLOOKUP("*4.9 - R*",'[1]5 BAF'!$A$4:$AAD$4896,18,FALSE)</f>
        <v>Rotherham place plan and Rotherham together partnership plan focusses on social value and the role of anchor organisations.
ICB place team part of Rowntree review on anchors and signed up to social value charter and staff trained
RTP leading on social value and training for key staff in contracting and procurement as well as senior officers</v>
      </c>
      <c r="S19" s="93" t="str">
        <f>VLOOKUP("*4.9 - R*",'[1]5 BAF'!$A$4:$AAD$4896,19,FALSE)</f>
        <v>EQIAs to be completed for all commissioning activity and taken to Place Executive for assurance and sign off, this is to be completed as required. Ongoing as required through 2025/6</v>
      </c>
      <c r="T19" s="93" t="str">
        <f>VLOOKUP("*4.9 - R*",'[1]5 BAF'!$A$4:$AAD$4896,20,FALSE)</f>
        <v xml:space="preserve">January 2025 - recommendation for this risk to be SY Wide </v>
      </c>
      <c r="U19" s="93" t="str">
        <f>VLOOKUP("*4.9 - R*",'[1]5 BAF'!$A$4:$AAD$4896,21,FALSE)</f>
        <v>Audit ICB contribution to social value</v>
      </c>
      <c r="V19" s="93" t="str">
        <f>VLOOKUP("*4.9 - R*",'[1]5 BAF'!$A$4:$AAD$4896,22,FALSE)</f>
        <v>07/10/2024
11/11/2024
16/12/2024
06/01/2025
20/01/2025
30/01/2025
03/03/2025
04/04/2025
06/05/2025
10/06/2025
14/07/2025
18/08/2025
21/08/2025
22/09/2025
01/10/2025
03/11/2025
04/11/2025
12/01/2026
16/02/2026</v>
      </c>
      <c r="W19" s="201">
        <f>VLOOKUP("*4.9 - R*",'[1]5 BAF'!$A$4:$AAD$4896,23,FALSE)</f>
        <v>46250</v>
      </c>
      <c r="X19" s="93" t="str">
        <f>VLOOKUP("*4.9 - R*",'[1]5 BAF'!$A$4:$AAD$4896,24,FALSE)</f>
        <v>Six-Monthly</v>
      </c>
      <c r="Y19" s="167" t="str">
        <f>VLOOKUP("*4.9 - R*",'[1]5 BAF'!$A$4:$AAD$4896,25,FALSE)</f>
        <v>Not overdue</v>
      </c>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row>
    <row r="20" spans="1:77" s="19" customFormat="1" ht="360" x14ac:dyDescent="0.4">
      <c r="A20" s="93" t="str">
        <f>VLOOKUP("*4.11 - R*",'[1]5 BAF'!$A$4:$AAD$4896,1,FALSE)</f>
        <v>4.11 - R</v>
      </c>
      <c r="B20" s="93" t="str">
        <f>VLOOKUP("*4.11 - R*",'[1]5 BAF'!$A$4:$AAD$4896,2,FALSE)</f>
        <v>Our work with local authority is effective</v>
      </c>
      <c r="C20" s="93" t="str">
        <f>VLOOKUP("*4.11 - R*",'[1]5 BAF'!$A$4:$AAD$4896,3,FALSE)</f>
        <v xml:space="preserve">Anthony Fitzgerald
Doncaster / Rotherham Place Director
</v>
      </c>
      <c r="D20" s="93" t="str">
        <f>VLOOKUP("*4.11 - R*",'[1]5 BAF'!$A$4:$AAD$4896,4,FALSE)</f>
        <v xml:space="preserve">Claire Smith
</v>
      </c>
      <c r="E20" s="93" t="str">
        <f>VLOOKUP("*4.11 - R*",'[1]5 BAF'!$A$4:$AAD$4896,5,FALSE)</f>
        <v>ICB Place Committees</v>
      </c>
      <c r="F20" s="93" t="str">
        <f>VLOOKUP("*4.11 - R*",'[1]5 BAF'!$A$4:$AAD$4896,6,FALSE)</f>
        <v>Accountable</v>
      </c>
      <c r="G20" s="93" t="str">
        <f>VLOOKUP("*4.11 - R*",'[1]5 BAF'!$A$4:$AAD$4896,7,FALSE)</f>
        <v>South Yorkshire Joint Forward Plan</v>
      </c>
      <c r="H20" s="93" t="str">
        <f>VLOOKUP("*4.11 - R*",'[1]5 BAF'!$A$4:$AAD$4896,8,FALSE)</f>
        <v>SY107, SY124, SY021</v>
      </c>
      <c r="I20" s="93" t="str">
        <f>VLOOKUP("*4.11 - R*",'[1]5 BAF'!$A$4:$AAD$4896,9,FALSE)</f>
        <v>1) Rotherham PLACE partnership is co- chaired by ICB RMBC. 
2) Plans are signed off by both organisations. HWBB  strategy signed off by both organisations. 
3) Senior joint posts across key work areas. Health attend Rotherham Partnership Board chaired by RMBC Chief Exec and attend Health Scrutiny routinely. 
4) ICB key member of Rotherham Together Partnership which is leading the way on maximising social vlaue</v>
      </c>
      <c r="J20" s="93" t="str">
        <f>VLOOKUP("*4.11 - R*",'[1]5 BAF'!$A$4:$AAD$4896,10,FALSE)</f>
        <v>Rotherham Place ICB board sub committee</v>
      </c>
      <c r="K20" s="93" t="str">
        <f>VLOOKUP("*4.11 - R*",'[1]5 BAF'!$A$4:$AAD$4896,11,FALSE)</f>
        <v>Health and Well Being Board</v>
      </c>
      <c r="L20" s="166" t="str">
        <f>VLOOKUP("*4.11 - R*",'[1]5 BAF'!$A$4:$AAD$4896,12,FALSE)</f>
        <v>2 x 3 = 6</v>
      </c>
      <c r="M20" s="93" t="str">
        <f>VLOOKUP("*4.11 - R*",'[1]5 BAF'!$A$4:$AAD$4896,13,FALSE)</f>
        <v>No gap identifed</v>
      </c>
      <c r="N20" s="93" t="str">
        <f>VLOOKUP("*4.11 - R*",'[1]5 BAF'!$A$4:$AAD$4896,14,FALSE)</f>
        <v>No gap identifed</v>
      </c>
      <c r="O20" s="93" t="str">
        <f>VLOOKUP("*4.11 - R*",'[1]5 BAF'!$A$4:$AAD$4896,15,FALSE)</f>
        <v>Support and strengthen our partnership arrangements in our places and our SY Integrated Care Partnership</v>
      </c>
      <c r="P20" s="166" t="str">
        <f>VLOOKUP("*4.11 - R*",'[1]5 BAF'!$A$4:$AAD$4896,16,FALSE)</f>
        <v>2 x 2 = 4</v>
      </c>
      <c r="Q20" s="167" t="str">
        <f>VLOOKUP("*4.11 - R*",'[1]5 BAF'!$A$4:$AAD$4896,17,FALSE)</f>
        <v>High</v>
      </c>
      <c r="R20" s="93" t="str">
        <f>VLOOKUP("*4.11 - R*",'[1]5 BAF'!$A$4:$AAD$4896,18,FALSE)</f>
        <v xml:space="preserve">Rotherham partnership works closely on social value. All partners signed up to the social value charter and key staff have had social value training. there are social value champions identified in our team and RMBC are leading on task and finish group to implement best practice </v>
      </c>
      <c r="S20" s="93" t="str">
        <f>VLOOKUP("*4.11 - R*",'[1]5 BAF'!$A$4:$AAD$4896,19,FALSE)</f>
        <v>No gaps identified, no action required</v>
      </c>
      <c r="T20" s="93" t="str">
        <f>VLOOKUP("*4.11 - R*",'[1]5 BAF'!$A$4:$AAD$4896,20,FALSE)</f>
        <v>April 2025 - Continue frequent meetings as a joint senior management group with Council colleagues regarding commissioning decisions
Review how they work and review attendance - aim to support transparency over workstreams and key priorities/risks within our organisations to manage and mitigate impact across H&amp;SC on decisions.  Meetings working well and continue to use as a platform to discuss partnership working particularly in difficult decision across organisations to prevent unintended impact. Review to be completed by end of Q2 25/26</v>
      </c>
      <c r="U20" s="93" t="str">
        <f>VLOOKUP("*4.11 - R*",'[1]5 BAF'!$A$4:$AAD$4896,21,FALSE)</f>
        <v xml:space="preserve">Audit BCF arrangements - internal audit completed as part of preparation for 25/26. understanding of budget lines and services within s75, agreement of prioirty of spend in IBCF </v>
      </c>
      <c r="V20" s="93" t="str">
        <f>VLOOKUP("*4.11 - R*",'[1]5 BAF'!$A$4:$AAD$4896,22,FALSE)</f>
        <v>07/10/2024
11/11/2024
16/12/2024
06/01/2025
20/01/2025
30/01/2025
03/03/2025
04/04/2025
06/05/2025
10/06/2025
14/07/2025
18/08/2025
21/08/2025
22/09/2025
01/10/2025
03/11/2025
04/11/2025
12/01/2026</v>
      </c>
      <c r="W20" s="201">
        <f>VLOOKUP("*4.11 - R*",'[1]5 BAF'!$A$4:$AAD$4896,23,FALSE)</f>
        <v>46215</v>
      </c>
      <c r="X20" s="93" t="str">
        <f>VLOOKUP("*4.11 - R*",'[1]5 BAF'!$A$4:$AAD$4896,24,FALSE)</f>
        <v>Six-Monthly</v>
      </c>
      <c r="Y20" s="167" t="str">
        <f>VLOOKUP("*4.11 - R*",'[1]5 BAF'!$A$4:$AAD$4896,25,FALSE)</f>
        <v>Not overdue</v>
      </c>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row>
    <row r="41" spans="2:2" x14ac:dyDescent="0.5">
      <c r="B41" s="15" t="s">
        <v>255</v>
      </c>
    </row>
  </sheetData>
  <mergeCells count="4">
    <mergeCell ref="A2:B2"/>
    <mergeCell ref="A11:B11"/>
    <mergeCell ref="A15:B15"/>
    <mergeCell ref="A18:B18"/>
  </mergeCells>
  <conditionalFormatting sqref="F1:H1">
    <cfRule type="containsText" dxfId="36" priority="3" operator="containsText" text="Responsible, Accountable, Consulted, Informed">
      <formula>NOT(ISERROR(SEARCH("Responsible, Accountable, Consulted, Informed",F1)))</formula>
    </cfRule>
  </conditionalFormatting>
  <conditionalFormatting sqref="F21:H1048576">
    <cfRule type="containsText" dxfId="35" priority="4" operator="containsText" text="Responsible, Accountable, Consulted, Informed">
      <formula>NOT(ISERROR(SEARCH("Responsible, Accountable, Consulted, Informed",F21)))</formula>
    </cfRule>
  </conditionalFormatting>
  <conditionalFormatting sqref="Y1">
    <cfRule type="containsText" dxfId="33" priority="2" operator="containsText" text="not overdue">
      <formula>NOT(ISERROR(SEARCH("not overdue",Y1)))</formula>
    </cfRule>
  </conditionalFormatting>
  <dataValidations count="1">
    <dataValidation type="list" allowBlank="1" showInputMessage="1" showErrorMessage="1" sqref="F21:F1048576 F1" xr:uid="{37758D2A-072B-42D9-8C3C-EB1E62AE4148}">
      <formula1>"Responsible, Accountable, Consulted, Informed"</formula1>
    </dataValidation>
  </dataValidations>
  <pageMargins left="0.70866141732283472" right="0.70866141732283472" top="0.74803149606299213" bottom="0.74803149606299213" header="0.31496062992125984" footer="0.31496062992125984"/>
  <pageSetup paperSize="8" scale="40"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id="{278E6993-760F-4976-8C8F-6738F3BA84DB}">
            <xm:f>NOT(ISERROR(SEARCH("-",Y1)))</xm:f>
            <xm:f>"-"</xm:f>
            <x14:dxf>
              <font>
                <b/>
                <i val="0"/>
                <color theme="0"/>
              </font>
              <fill>
                <patternFill>
                  <bgColor rgb="FFFF0000"/>
                </patternFill>
              </fill>
            </x14:dxf>
          </x14:cfRule>
          <xm:sqref>Y1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3CE7-1B8C-4ADD-9D17-7999B98539B7}">
  <dimension ref="A1:DA78"/>
  <sheetViews>
    <sheetView zoomScale="80" zoomScaleNormal="80" workbookViewId="0">
      <selection activeCell="I17" sqref="I17"/>
    </sheetView>
  </sheetViews>
  <sheetFormatPr defaultColWidth="8.7265625" defaultRowHeight="14.5" x14ac:dyDescent="0.35"/>
  <cols>
    <col min="1" max="24" width="8.7265625" style="112"/>
    <col min="25" max="16384" width="8.7265625" style="88"/>
  </cols>
  <sheetData>
    <row r="1" spans="1:105" customFormat="1" x14ac:dyDescent="0.35">
      <c r="A1" s="9" t="s">
        <v>225</v>
      </c>
      <c r="B1" s="10"/>
      <c r="C1" s="10"/>
      <c r="D1" s="10"/>
      <c r="E1" s="10"/>
      <c r="F1" s="10"/>
      <c r="G1" s="10"/>
      <c r="H1" s="10"/>
      <c r="I1" s="10"/>
      <c r="J1" s="10"/>
      <c r="K1" s="10"/>
      <c r="L1" s="10"/>
      <c r="M1" s="10"/>
      <c r="N1" s="10"/>
      <c r="O1" s="10"/>
      <c r="P1" s="10"/>
      <c r="Q1" s="10"/>
      <c r="R1" s="10"/>
      <c r="S1" s="10"/>
      <c r="T1" s="10"/>
      <c r="U1" s="10"/>
      <c r="V1" s="10"/>
      <c r="W1" s="10"/>
      <c r="X1" s="10"/>
    </row>
    <row r="2" spans="1:105" customFormat="1" ht="20" x14ac:dyDescent="0.4">
      <c r="A2" s="236" t="s">
        <v>140</v>
      </c>
      <c r="B2" s="236"/>
      <c r="C2" s="236"/>
      <c r="D2" s="236"/>
      <c r="E2" s="236"/>
      <c r="F2" s="236"/>
      <c r="G2" s="236"/>
      <c r="H2" s="236"/>
      <c r="I2" s="236"/>
      <c r="J2" s="236"/>
      <c r="K2" s="236"/>
      <c r="L2" s="236"/>
      <c r="M2" s="236"/>
      <c r="N2" s="236"/>
      <c r="O2" s="236"/>
      <c r="P2" s="236"/>
      <c r="Q2" s="236"/>
      <c r="R2" s="236"/>
      <c r="S2" s="236"/>
      <c r="T2" s="236"/>
      <c r="U2" s="236"/>
      <c r="V2" s="236"/>
      <c r="W2" s="236"/>
      <c r="X2" s="236"/>
      <c r="Y2" s="236"/>
      <c r="AA2" s="236" t="s">
        <v>141</v>
      </c>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6"/>
      <c r="BJ2" s="236"/>
      <c r="BK2" s="236"/>
      <c r="BL2" s="236"/>
      <c r="BM2" s="236"/>
      <c r="BN2" s="236"/>
      <c r="BO2" s="236"/>
      <c r="BP2" s="236"/>
      <c r="BQ2" s="236"/>
      <c r="BR2" s="236"/>
      <c r="BS2" s="236"/>
      <c r="BT2" s="236"/>
      <c r="BU2" s="236"/>
      <c r="BV2" s="236"/>
      <c r="BW2" s="236"/>
      <c r="BX2" s="236"/>
      <c r="BY2" s="236"/>
      <c r="BZ2" s="236"/>
      <c r="CA2" s="236"/>
      <c r="CB2" s="236"/>
      <c r="CC2" s="236"/>
      <c r="CD2" s="236"/>
      <c r="CE2" s="236"/>
      <c r="CF2" s="236"/>
      <c r="CG2" s="236"/>
      <c r="CH2" s="236"/>
      <c r="CI2" s="236"/>
      <c r="CJ2" s="236"/>
      <c r="CK2" s="236"/>
      <c r="CL2" s="236"/>
      <c r="CM2" s="236"/>
      <c r="CN2" s="236"/>
      <c r="CO2" s="236"/>
      <c r="CP2" s="236"/>
      <c r="CQ2" s="236"/>
      <c r="CR2" s="236"/>
      <c r="CS2" s="236"/>
      <c r="CT2" s="236"/>
      <c r="CU2" s="236"/>
      <c r="CV2" s="236"/>
      <c r="CW2" s="236"/>
      <c r="CX2" s="236"/>
      <c r="CY2" s="236"/>
      <c r="CZ2" s="236"/>
      <c r="DA2" s="236"/>
    </row>
    <row r="4" spans="1:105" s="128" customFormat="1" ht="33.5" customHeight="1" x14ac:dyDescent="0.35">
      <c r="A4" s="237" t="s">
        <v>226</v>
      </c>
      <c r="B4" s="237"/>
      <c r="C4" s="237"/>
      <c r="D4" s="237"/>
      <c r="E4" s="127"/>
      <c r="F4" s="237" t="s">
        <v>227</v>
      </c>
      <c r="G4" s="237"/>
      <c r="H4" s="237"/>
      <c r="I4" s="237"/>
      <c r="J4" s="127"/>
      <c r="K4" s="237" t="s">
        <v>228</v>
      </c>
      <c r="L4" s="237"/>
      <c r="M4" s="237"/>
      <c r="N4" s="237"/>
      <c r="O4" s="127"/>
      <c r="P4" s="237" t="s">
        <v>229</v>
      </c>
      <c r="Q4" s="237"/>
      <c r="R4" s="237"/>
      <c r="S4" s="237"/>
      <c r="T4" s="127"/>
      <c r="U4" s="237" t="s">
        <v>230</v>
      </c>
      <c r="V4" s="237"/>
      <c r="W4" s="237"/>
      <c r="X4" s="237"/>
      <c r="AA4" s="237" t="s">
        <v>231</v>
      </c>
      <c r="AB4" s="237"/>
      <c r="AC4" s="237"/>
      <c r="AD4" s="237"/>
      <c r="AE4" s="127"/>
      <c r="AF4" s="237" t="s">
        <v>232</v>
      </c>
      <c r="AG4" s="237"/>
      <c r="AH4" s="237"/>
      <c r="AI4" s="237"/>
      <c r="AJ4" s="127"/>
      <c r="AK4" s="237" t="s">
        <v>233</v>
      </c>
      <c r="AL4" s="237"/>
      <c r="AM4" s="237"/>
      <c r="AN4" s="237"/>
      <c r="AO4" s="127"/>
      <c r="AP4" s="237" t="s">
        <v>234</v>
      </c>
      <c r="AQ4" s="237"/>
      <c r="AR4" s="237"/>
      <c r="AS4" s="237"/>
      <c r="AT4" s="127"/>
      <c r="AU4" s="237" t="s">
        <v>235</v>
      </c>
      <c r="AV4" s="237"/>
      <c r="AW4" s="237"/>
      <c r="AX4" s="237"/>
      <c r="AZ4" s="237" t="s">
        <v>236</v>
      </c>
      <c r="BA4" s="237"/>
      <c r="BB4" s="237"/>
      <c r="BC4" s="237"/>
      <c r="BD4" s="129"/>
      <c r="BE4" s="237" t="s">
        <v>237</v>
      </c>
      <c r="BF4" s="237"/>
      <c r="BG4" s="237"/>
      <c r="BH4" s="237"/>
      <c r="BI4" s="129"/>
      <c r="BJ4" s="237" t="s">
        <v>238</v>
      </c>
      <c r="BK4" s="237"/>
      <c r="BL4" s="237"/>
      <c r="BM4" s="237"/>
      <c r="BN4" s="127"/>
      <c r="BO4" s="237" t="s">
        <v>239</v>
      </c>
      <c r="BP4" s="237"/>
      <c r="BQ4" s="237"/>
      <c r="BR4" s="237"/>
      <c r="BS4" s="127"/>
      <c r="BT4" s="241" t="s">
        <v>240</v>
      </c>
      <c r="BU4" s="241"/>
      <c r="BV4" s="241"/>
      <c r="BW4" s="241"/>
      <c r="BY4" s="237" t="s">
        <v>241</v>
      </c>
      <c r="BZ4" s="237"/>
      <c r="CA4" s="237"/>
      <c r="CB4" s="237"/>
      <c r="CD4" s="237" t="s">
        <v>242</v>
      </c>
      <c r="CE4" s="237"/>
      <c r="CF4" s="237"/>
      <c r="CG4" s="237"/>
      <c r="CH4" s="127"/>
      <c r="CI4" s="237" t="s">
        <v>243</v>
      </c>
      <c r="CJ4" s="237"/>
      <c r="CK4" s="237"/>
      <c r="CL4" s="237"/>
      <c r="CM4" s="129"/>
      <c r="CN4" s="237" t="s">
        <v>177</v>
      </c>
      <c r="CO4" s="237"/>
      <c r="CP4" s="237"/>
      <c r="CQ4" s="237"/>
      <c r="CR4" s="127"/>
      <c r="CS4" s="237" t="s">
        <v>230</v>
      </c>
      <c r="CT4" s="237"/>
      <c r="CU4" s="237"/>
      <c r="CV4" s="237"/>
      <c r="CW4" s="127"/>
      <c r="CX4" s="237" t="s">
        <v>244</v>
      </c>
      <c r="CY4" s="237"/>
      <c r="CZ4" s="237"/>
      <c r="DA4" s="237"/>
    </row>
    <row r="6" spans="1:105" x14ac:dyDescent="0.35">
      <c r="A6" s="130"/>
      <c r="B6" s="130"/>
      <c r="C6" s="130"/>
      <c r="D6" s="130"/>
      <c r="AU6" s="240" t="s">
        <v>245</v>
      </c>
      <c r="AV6" s="240"/>
      <c r="AW6" s="240"/>
      <c r="AX6" s="240"/>
      <c r="AZ6" s="240" t="s">
        <v>245</v>
      </c>
      <c r="BA6" s="240"/>
      <c r="BB6" s="240"/>
      <c r="BC6" s="240"/>
      <c r="BJ6" s="240" t="s">
        <v>245</v>
      </c>
      <c r="BK6" s="240"/>
      <c r="BL6" s="240"/>
      <c r="BM6" s="240"/>
      <c r="BT6" s="240" t="s">
        <v>245</v>
      </c>
      <c r="BU6" s="240"/>
      <c r="BV6" s="240"/>
      <c r="BW6" s="240"/>
      <c r="CN6" s="240" t="s">
        <v>245</v>
      </c>
      <c r="CO6" s="240"/>
      <c r="CP6" s="240"/>
      <c r="CQ6" s="240"/>
    </row>
    <row r="7" spans="1:105" ht="14.5" customHeight="1" x14ac:dyDescent="0.35">
      <c r="A7" s="130"/>
      <c r="B7" s="130"/>
      <c r="C7" s="130"/>
      <c r="D7" s="130"/>
      <c r="P7" s="239"/>
      <c r="Q7" s="239"/>
      <c r="R7" s="239"/>
      <c r="S7" s="239"/>
    </row>
    <row r="18" spans="82:85" x14ac:dyDescent="0.35">
      <c r="CD18" s="240" t="s">
        <v>245</v>
      </c>
      <c r="CE18" s="240"/>
      <c r="CF18" s="240"/>
      <c r="CG18" s="240"/>
    </row>
    <row r="52" spans="1:4" x14ac:dyDescent="0.35">
      <c r="A52" s="242" t="s">
        <v>245</v>
      </c>
      <c r="B52" s="242"/>
      <c r="C52" s="242"/>
      <c r="D52" s="242"/>
    </row>
    <row r="73" spans="21:45" x14ac:dyDescent="0.35">
      <c r="AA73" s="243" t="s">
        <v>245</v>
      </c>
      <c r="AB73" s="243"/>
      <c r="AC73" s="243"/>
      <c r="AD73" s="243"/>
      <c r="AF73" s="243" t="s">
        <v>245</v>
      </c>
      <c r="AG73" s="243"/>
      <c r="AH73" s="243"/>
      <c r="AI73" s="243"/>
      <c r="AK73" s="243" t="s">
        <v>245</v>
      </c>
      <c r="AL73" s="243"/>
      <c r="AM73" s="243"/>
      <c r="AN73" s="243"/>
      <c r="AP73" s="243" t="s">
        <v>245</v>
      </c>
      <c r="AQ73" s="243"/>
      <c r="AR73" s="243"/>
      <c r="AS73" s="243"/>
    </row>
    <row r="78" spans="21:45" x14ac:dyDescent="0.35">
      <c r="U78" s="238" t="s">
        <v>245</v>
      </c>
      <c r="V78" s="238"/>
      <c r="W78" s="238"/>
      <c r="X78" s="238"/>
    </row>
  </sheetData>
  <mergeCells count="36">
    <mergeCell ref="A52:D52"/>
    <mergeCell ref="AA73:AD73"/>
    <mergeCell ref="AF73:AI73"/>
    <mergeCell ref="AK73:AN73"/>
    <mergeCell ref="AP73:AS73"/>
    <mergeCell ref="CS4:CV4"/>
    <mergeCell ref="BO4:BR4"/>
    <mergeCell ref="U78:X78"/>
    <mergeCell ref="P7:S7"/>
    <mergeCell ref="CD18:CG18"/>
    <mergeCell ref="BT4:BW4"/>
    <mergeCell ref="BY4:CB4"/>
    <mergeCell ref="CD4:CG4"/>
    <mergeCell ref="CI4:CL4"/>
    <mergeCell ref="CN4:CQ4"/>
    <mergeCell ref="AU6:AX6"/>
    <mergeCell ref="AZ6:BC6"/>
    <mergeCell ref="BJ6:BM6"/>
    <mergeCell ref="BT6:BW6"/>
    <mergeCell ref="CN6:CQ6"/>
    <mergeCell ref="A2:Y2"/>
    <mergeCell ref="AA2:DA2"/>
    <mergeCell ref="A4:D4"/>
    <mergeCell ref="F4:I4"/>
    <mergeCell ref="K4:N4"/>
    <mergeCell ref="P4:S4"/>
    <mergeCell ref="U4:X4"/>
    <mergeCell ref="AA4:AD4"/>
    <mergeCell ref="AF4:AI4"/>
    <mergeCell ref="AK4:AN4"/>
    <mergeCell ref="AP4:AS4"/>
    <mergeCell ref="AU4:AX4"/>
    <mergeCell ref="AZ4:BC4"/>
    <mergeCell ref="BE4:BH4"/>
    <mergeCell ref="BJ4:BM4"/>
    <mergeCell ref="CX4:DA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2873-313C-450B-9F13-CC52CC44AD51}">
  <dimension ref="A1:AB3969"/>
  <sheetViews>
    <sheetView topLeftCell="O13" zoomScale="60" zoomScaleNormal="60" workbookViewId="0">
      <selection activeCell="S13" sqref="S13"/>
    </sheetView>
  </sheetViews>
  <sheetFormatPr defaultColWidth="8.81640625" defaultRowHeight="14.5" x14ac:dyDescent="0.35"/>
  <cols>
    <col min="1" max="1" width="28.54296875" customWidth="1"/>
    <col min="2" max="2" width="25.1796875" customWidth="1"/>
    <col min="3" max="3" width="24.81640625" customWidth="1"/>
    <col min="4" max="4" width="15.54296875" customWidth="1"/>
    <col min="5" max="5" width="36" customWidth="1"/>
    <col min="6" max="6" width="66.81640625" customWidth="1"/>
    <col min="7" max="7" width="19.81640625" customWidth="1"/>
    <col min="8" max="9" width="15.54296875" customWidth="1"/>
    <col min="10" max="10" width="20.54296875" customWidth="1"/>
    <col min="11" max="11" width="61.54296875" customWidth="1"/>
    <col min="12" max="12" width="33.1796875" customWidth="1"/>
    <col min="13" max="13" width="23.453125" customWidth="1"/>
    <col min="14" max="15" width="15.54296875" customWidth="1"/>
    <col min="16" max="16" width="17.453125" customWidth="1"/>
    <col min="17" max="17" width="20.1796875" customWidth="1"/>
    <col min="18" max="18" width="22.54296875" customWidth="1"/>
    <col min="19" max="19" width="25.81640625" customWidth="1"/>
    <col min="20" max="20" width="44.1796875" customWidth="1"/>
    <col min="21" max="21" width="143.54296875" customWidth="1"/>
    <col min="22" max="22" width="23.54296875" customWidth="1"/>
    <col min="23" max="23" width="15.81640625" customWidth="1"/>
    <col min="24" max="24" width="16.81640625" customWidth="1"/>
    <col min="25" max="25" width="19.1796875" hidden="1" customWidth="1"/>
    <col min="26" max="26" width="20.54296875" hidden="1" customWidth="1"/>
    <col min="27" max="27" width="22.453125" hidden="1" customWidth="1"/>
    <col min="28" max="28" width="80.81640625" customWidth="1"/>
  </cols>
  <sheetData>
    <row r="1" spans="1:28" x14ac:dyDescent="0.35">
      <c r="G1" s="244" t="s">
        <v>134</v>
      </c>
      <c r="H1" s="244"/>
      <c r="I1" s="244"/>
      <c r="N1" s="2" t="s">
        <v>142</v>
      </c>
      <c r="O1" s="2"/>
      <c r="P1" s="2"/>
    </row>
    <row r="2" spans="1:28" s="1" customFormat="1" ht="93.65" customHeight="1" x14ac:dyDescent="0.35">
      <c r="A2" s="89" t="s">
        <v>124</v>
      </c>
      <c r="B2" s="89" t="s">
        <v>143</v>
      </c>
      <c r="C2" s="89" t="s">
        <v>144</v>
      </c>
      <c r="D2" s="89" t="s">
        <v>145</v>
      </c>
      <c r="E2" s="89" t="s">
        <v>146</v>
      </c>
      <c r="F2" s="89" t="s">
        <v>147</v>
      </c>
      <c r="G2" s="89" t="s">
        <v>13</v>
      </c>
      <c r="H2" s="89" t="s">
        <v>148</v>
      </c>
      <c r="I2" s="89" t="s">
        <v>149</v>
      </c>
      <c r="J2" s="89" t="s">
        <v>128</v>
      </c>
      <c r="K2" s="89" t="s">
        <v>150</v>
      </c>
      <c r="L2" s="89" t="s">
        <v>151</v>
      </c>
      <c r="M2" s="89" t="s">
        <v>129</v>
      </c>
      <c r="N2" s="89" t="s">
        <v>152</v>
      </c>
      <c r="O2" s="89" t="s">
        <v>153</v>
      </c>
      <c r="P2" s="89" t="s">
        <v>154</v>
      </c>
      <c r="Q2" s="89" t="s">
        <v>155</v>
      </c>
      <c r="R2" s="89" t="s">
        <v>156</v>
      </c>
      <c r="S2" s="89" t="s">
        <v>157</v>
      </c>
      <c r="T2" s="89" t="s">
        <v>158</v>
      </c>
      <c r="U2" s="89" t="s">
        <v>159</v>
      </c>
      <c r="V2" s="89" t="s">
        <v>160</v>
      </c>
      <c r="W2" s="136" t="s">
        <v>161</v>
      </c>
      <c r="X2" s="136" t="s">
        <v>162</v>
      </c>
      <c r="Y2" s="137" t="s">
        <v>163</v>
      </c>
      <c r="Z2" s="137" t="s">
        <v>164</v>
      </c>
      <c r="AA2" s="137" t="s">
        <v>165</v>
      </c>
      <c r="AB2" s="137" t="s">
        <v>166</v>
      </c>
    </row>
    <row r="3" spans="1:28" ht="261" x14ac:dyDescent="0.35">
      <c r="A3" s="3" t="str">
        <f>VLOOKUP("*SY124*",'[1]10. Open Risks'!$A$3:$YA$4997,1,FALSE)</f>
        <v>SY124</v>
      </c>
      <c r="B3" s="4" t="str">
        <f>VLOOKUP("*SY124*",'[1]10. Open Risks'!$A$3:$YA$4997,2,FALSE)</f>
        <v>ICB</v>
      </c>
      <c r="C3" s="4" t="str">
        <f>VLOOKUP("*SY124*",'[1]10. Open Risks'!$A$3:$YA$4997,3,FALSE)</f>
        <v>Mental Health Services inc. LD/Autism/CAMHS</v>
      </c>
      <c r="D3" s="4" t="str">
        <f>VLOOKUP("*SY124*",'[1]10. Open Risks'!$A$3:$YA$4997,4,FALSE)</f>
        <v>1,3,5,6</v>
      </c>
      <c r="E3" s="4" t="str">
        <f>VLOOKUP("*SY124*",'[1]10. Open Risks'!$A$3:$YA$4997,5,FALSE)</f>
        <v>BAF 1.1.1D, BAF 1.1.1B, BAF 1.1.1R, BAF 1.1.1S, BAF 1.4.1, BAF 1.4.2, BAF 1.4.3.1V, BAF 1.4.3.1CYP, BAF  1.4.3.1B. BAF, 1.4.3.1D, BAF 1.4.3.1R, BAF 1.4.3.1S, BAF 2.10, BAF 3.11, BAF 4.4</v>
      </c>
      <c r="F3" s="4" t="str">
        <f>VLOOKUP("*SY124*",'[1]10. Open Risks'!$A$3:$YA$4997,6,FALSE)</f>
        <v>National Trajectory for Learning Disability and Autism (LDA) Inpatients - There is a risk that the ICB will not meet the national trajectory for 24/25 based on no more than 30 inpatients per 1 million population, this is due to an increased number of admissions across all 4 places and a number of inpatients who are stuck in hospital with no clear discharge plans, this is also resulting in increased out of area placements being required which is having a significant impact on budgets due to the high cost packages involved with the spot purchased placements</v>
      </c>
      <c r="G3" s="4">
        <f>VLOOKUP("*SY124*",'[1]10. Open Risks'!$A$3:$YA$4997,7,FALSE)</f>
        <v>4</v>
      </c>
      <c r="H3" s="4">
        <f>VLOOKUP("*SY124*",'[1]10. Open Risks'!$A$3:$YA$4997,8,FALSE)</f>
        <v>4</v>
      </c>
      <c r="I3" s="74">
        <f>VLOOKUP("*SY124*",'[1]10. Open Risks'!$A$3:$YA$4997,9,FALSE)</f>
        <v>16</v>
      </c>
      <c r="J3" s="138" t="str">
        <f>VLOOKUP("*SY124*",'[1]10. Open Risks'!$A$3:$YA$4997,10,FALSE)</f>
        <v>Accountable</v>
      </c>
      <c r="K3" s="4" t="str">
        <f>VLOOKUP("*SY124*",'[1]10. Open Risks'!$A$3:$YA$4997,11,FALSE)</f>
        <v>1)Regular Case Reviews with place and Programme Director to identify and unblock barriers to discharge
2)Expansion of Children and Young People Keyworker Programme – Prevent risk of admission, facilitate discharge promptly
3)Development of Safe Place/Crisis beds as part of the crisis response pathway to prevent admission and placement breakdown
4)Development of a Specialist Autism Team working alongside existing teams on complex cases
5)Links with both MHLDA Provider Collaboratives who are leading on some of the identified priorities which sit under the overarching national LDA programme
6)Expansion of Forensic Outreach Liaison Services
7)Delivery of SY LDA Housing Needs Assessment
8)Implementation of the Care Education Treatment Review and Dynamic Support Register Policy to ensure that regular independent reviews are taking place to enable discharge planning and implement ICB assurance and escalation processes to provide overall assurance that we are meeting the policy requirements</v>
      </c>
      <c r="L3" s="4" t="str">
        <f>VLOOKUP("*SY124*",'[1]10. Open Risks'!$A$3:$YA$4997,12,FALSE)</f>
        <v>Sarah Perkins
Director of Transformation and Delivery</v>
      </c>
      <c r="M3" s="4" t="str">
        <f>VLOOKUP("*SY124*",'[1]10. Open Risks'!$A$3:$YA$4997,13,FALSE)</f>
        <v>LDA Programme Risk</v>
      </c>
      <c r="N3" s="4">
        <f>VLOOKUP("*SY124*",'[1]10. Open Risks'!$A$3:$YA$4997,14,FALSE)</f>
        <v>3</v>
      </c>
      <c r="O3" s="4">
        <f>VLOOKUP("*SY124*",'[1]10. Open Risks'!$A$3:$YA$4997,15,FALSE)</f>
        <v>4</v>
      </c>
      <c r="P3" s="91">
        <v>12</v>
      </c>
      <c r="Q3" s="135" t="str">
        <f>VLOOKUP("*SY124*",'[1]10. Open Risks'!$A$3:$YA$4997,17,FALSE)</f>
        <v>12/12/2023
25/04/2024
15/07/2024
02/08/2024
28/10/2024
23/12/2024
07/02/2025
20/02/2025
07/04/2025
07/07/2025
17/07/2025
06/10/2025
19/01/2026</v>
      </c>
      <c r="R3" s="135">
        <f>VLOOKUP("*SY124*",'[1]10. Open Risks'!$A$3:$YA$4997,18,FALSE)</f>
        <v>46131</v>
      </c>
      <c r="S3" s="139" t="str">
        <f>VLOOKUP("*SY124*",'[1]10. Open Risks'!$A$3:$YA$4997,19,FALSE)</f>
        <v>Not overdue</v>
      </c>
      <c r="T3" s="4" t="str">
        <f>VLOOKUP("*SY124*",'[1]10. Open Risks'!$A$3:$YA$4997,20,FALSE)</f>
        <v>Kelly Glover</v>
      </c>
      <c r="U3" s="4" t="str">
        <f>VLOOKUP("*SY124*",'[1]10. Open Risks'!$A$3:$YA$4997,21,FALSE)</f>
        <v>July 25 - Safe Space site has been identified and offer is awaiting acceptance.  Mobilised all age keyworking service and working with several adult inpatients to facilitate discharge as well as embedding a more preventative approach in the community.</v>
      </c>
      <c r="V3" s="4" t="str">
        <f>VLOOKUP("*SY124*",'[1]10. Open Risks'!$A$3:$YA$4997,22,FALSE)</f>
        <v>Quarterly</v>
      </c>
      <c r="W3" s="4" t="str">
        <f>VLOOKUP("*SY124*",'[1]10. Open Risks'!$A$3:$YA$4997,23,FALSE)</f>
        <v>ICB Place Committee</v>
      </c>
      <c r="X3" s="4" t="str">
        <f>VLOOKUP("*SY124*",'[1]10. Open Risks'!$A$3:$YA$4997,24,FALSE)</f>
        <v>Quality Performance Patient Involvement Experience (QPPIE)</v>
      </c>
      <c r="Y3" s="4">
        <f>VLOOKUP("*SY124*",'[1]10. Open Risks'!$A$3:$YA$4997,25,FALSE)</f>
        <v>45215</v>
      </c>
      <c r="Z3" s="4">
        <f>VLOOKUP("*SY124*",'[1]10. Open Risks'!$A$3:$YA$4997,26,FALSE)</f>
        <v>45200</v>
      </c>
      <c r="AA3" s="4">
        <f>VLOOKUP("*SY124*",'[1]10. Open Risks'!$A$3:$YA$4997,27,FALSE)</f>
        <v>644</v>
      </c>
      <c r="AB3" s="5" t="str">
        <f>VLOOKUP("*SY124*",'[1]10. Open Risks'!$A$3:$YA$4997,28,FALSE)</f>
        <v>Update 17/7/25 - Not changed the risk ratings as whilst there has been progress with the mitigations, we will not see the benefit until later in the year and next year due to the mobilisation timeframe and the timeframes for discharge pathways being longer.
Update 3/2/25 - Reduced the residual risk likelihood to 3 as there has been an updated trajectory to achieve of 10% less than baseline in April 24, this will be a challenge but is more achievable.  All the same mitigations are in place with additional check ins for planned discharges in Q4 with all four places to ensure any issues/barriers are addressed promptly.</v>
      </c>
    </row>
    <row r="4" spans="1:28" ht="275.5" x14ac:dyDescent="0.35">
      <c r="A4" s="3" t="str">
        <f>VLOOKUP("*SY113*",'[1]10. Open Risks'!$A$3:$YA$4997,1,FALSE)</f>
        <v xml:space="preserve">SY113  </v>
      </c>
      <c r="B4" s="4" t="str">
        <f>VLOOKUP("*SY113*",'[1]10. Open Risks'!$A$3:$YA$4997,2,FALSE)</f>
        <v>ICB</v>
      </c>
      <c r="C4" s="4" t="str">
        <f>VLOOKUP("*SY113*",'[1]10. Open Risks'!$A$3:$YA$4997,3,FALSE)</f>
        <v>Elective Care</v>
      </c>
      <c r="D4" s="4" t="str">
        <f>VLOOKUP("*SY113*",'[1]10. Open Risks'!$A$3:$YA$4997,4,FALSE)</f>
        <v>1 4 5 8</v>
      </c>
      <c r="E4" s="4" t="str">
        <f>VLOOKUP("*SY113*",'[1]10. Open Risks'!$A$3:$YA$4997,5,FALSE)</f>
        <v>BAF 1.6.1, BAF 1.6.3, BAF 2.9, BAF 2.10, BAF 2.12, BAF 2.13, BAF 2.14</v>
      </c>
      <c r="F4" s="4" t="str">
        <f>VLOOKUP("*SY113*",'[1]10. Open Risks'!$A$3:$YA$4997,6,FALSE)</f>
        <v>Waiting Times - There is a risk of failing to deliver the elective reform targets (referral to treatment (RTT) waiting time targets, and reducing the proportion of the RTT waiting list over 52 weeks to less than 1% of the total) due to high demand for services, workforce shortages, pandemic and industrial action backlogs, which may affect patient access, patient safety and experience, and SY ICB reputation.</v>
      </c>
      <c r="G4" s="4">
        <f>VLOOKUP("*SY113*",'[1]10. Open Risks'!$A$3:$YA$4997,7,FALSE)</f>
        <v>4</v>
      </c>
      <c r="H4" s="4">
        <f>VLOOKUP("*SY113*",'[1]10. Open Risks'!$A$3:$YA$4997,8,FALSE)</f>
        <v>5</v>
      </c>
      <c r="I4" s="74">
        <f>VLOOKUP("*SY113*",'[1]10. Open Risks'!$A$3:$YA$4997,9,FALSE)</f>
        <v>20</v>
      </c>
      <c r="J4" s="138" t="str">
        <f>VLOOKUP("*SY113*",'[1]10. Open Risks'!$A$3:$YA$4997,10,FALSE)</f>
        <v>Accountable</v>
      </c>
      <c r="K4" s="4" t="str">
        <f>VLOOKUP("*SY113*",'[1]10. Open Risks'!$A$3:$YA$4997,11,FALSE)</f>
        <v xml:space="preserve">1)Implement South Yorkshire and Bassetlaw Acute Federation (SYBAF) Diagnostic &amp; Elective Recovery Plan 
2)Getting It Right First Time (GIRFT) improvement programme
3)NHSE Quality Improvement support                              
4)Implement the 'choice' agenda for patients at the point of referral
5)Clinical improvement programmes in 6 fragile specialties 
6)Paediatric innovator programme for children's specialties
7)Pathway reform, including referral criteria and Advice and Guidance with Primary &amp; Secondary Care Interface Group 
</v>
      </c>
      <c r="L4" s="4" t="str">
        <f>VLOOKUP("*SY113*",'[1]10. Open Risks'!$A$3:$YA$4997,12,FALSE)</f>
        <v>Sarah Perkins
Director of Transformation and Delivery</v>
      </c>
      <c r="M4" s="4" t="str">
        <f>VLOOKUP("*SY113*",'[1]10. Open Risks'!$A$3:$YA$4997,13,FALSE)</f>
        <v>Sarah Bayliss</v>
      </c>
      <c r="N4" s="4">
        <f>VLOOKUP("*SY113*",'[1]10. Open Risks'!$A$3:$YA$4997,14,FALSE)</f>
        <v>4</v>
      </c>
      <c r="O4" s="4">
        <f>VLOOKUP("*SY113*",'[1]10. Open Risks'!$A$3:$YA$4997,15,FALSE)</f>
        <v>3</v>
      </c>
      <c r="P4" s="91">
        <f>VLOOKUP("*SY113*",'[1]10. Open Risks'!$A$3:$YA$4997,16,FALSE)</f>
        <v>12</v>
      </c>
      <c r="Q4" s="4" t="str">
        <f>VLOOKUP("*SY113*",'[1]10. Open Risks'!$A$3:$YA$4997,17,FALSE)</f>
        <v>18/08/2023    11/09/2023           02/10/2023                            11/10/2023     10/11/2023 
15/12/2023
05/02/2024
18/03/2024
19/04/2024
24/07/2024
28/10/2024
04/11/2024
16/12/2024
20/12/2024
06/03/2025
09/06/2025
19/06/2025
22/09/2025
22/12/2025</v>
      </c>
      <c r="R4" s="135">
        <f>VLOOKUP("*SY113*",'[1]10. Open Risks'!$A$3:$YA$4997,18,FALSE)</f>
        <v>46103</v>
      </c>
      <c r="S4" s="74" t="str">
        <f>VLOOKUP("*SY113*",'[1]10. Open Risks'!$A$3:$YA$4997,19,FALSE)</f>
        <v xml:space="preserve">-11 </v>
      </c>
      <c r="T4" s="4" t="str">
        <f>VLOOKUP("*SY113*",'[1]10. Open Risks'!$A$3:$YA$4997,20,FALSE)</f>
        <v xml:space="preserve">Cathy Hassell  (Managing Director
South Yorkshire &amp; Bassetlaw Acute Federation) / Sarah Bayliss </v>
      </c>
      <c r="U4" s="4" t="str">
        <f>VLOOKUP("*SY113*",'[1]10. Open Risks'!$A$3:$YA$4997,21,FALSE)</f>
        <v>December 2025 - As providers and systems have successfully reduced the volume of patients waiting over 65 weeks, the national focus has shifted to the constitutional standard of referral to treatment within 18 weeks.   All providers are expected to deliver a 5% improvement on the Nov. 2024 baseline by the end of March 2026; this requires 4 of the 5 SYB Trusts to perform above the national target of 65%.  The system is still struggling to recover waiting lists since COVID and industrial action. 
SYBAF Diagnostic and Elective Recovery Plans are in place and Providers are supported in their improvement planning via the NHSE tiering system.  SYB providers are each working to implement OP and theatre improvement plans to increase productivity, supported by SYB collaborative working groups, GIRFT and NHSE Quality Improvement.  SYB mutual aid principles and SOP agreed. 
Provider representatives actively engaged to improve RTT performance and reduce the proportion waiting over 52 weeks.  Clinical improvement groups and the Primary &amp; Secondary Care Interface Group are working on pathway improvement including referral criteria and Advice and Guidance.  Independent sector including insourcing and outsourcing utilised to supplement NHS capacity when affordable.</v>
      </c>
      <c r="V4" s="4" t="str">
        <f>VLOOKUP("*SY113*",'[1]10. Open Risks'!$A$3:$YA$4997,22,FALSE)</f>
        <v>Quarterly</v>
      </c>
      <c r="W4" s="4" t="str">
        <f>VLOOKUP("*SY113*",'[1]10. Open Risks'!$A$3:$YA$4997,23,FALSE)</f>
        <v>ICB Place Committee</v>
      </c>
      <c r="X4" s="4" t="str">
        <f>VLOOKUP("*SY113*",'[1]10. Open Risks'!$A$3:$YA$4997,24,FALSE)</f>
        <v>Quality Performance Patient Involvement Experience (QPPIE)</v>
      </c>
      <c r="Y4" s="4">
        <f>VLOOKUP("*SY113*",'[1]10. Open Risks'!$A$3:$YA$4997,25,FALSE)</f>
        <v>45156</v>
      </c>
      <c r="Z4" s="4">
        <f>VLOOKUP("*SY113*",'[1]10. Open Risks'!$A$3:$YA$4997,26,FALSE)</f>
        <v>45139</v>
      </c>
      <c r="AA4" s="4">
        <f>VLOOKUP("*SY113*",'[1]10. Open Risks'!$A$3:$YA$4997,27,FALSE)</f>
        <v>685</v>
      </c>
      <c r="AB4" s="5" t="str">
        <f>VLOOKUP("*SY113*",'[1]10. Open Risks'!$A$3:$YA$4997,28,FALSE)</f>
        <v xml:space="preserve">Risk was discussed at the Acute Federation Board meeting which agreed that, given the current context, the post-mitigation score for the elective recovery risk can be raised to 16 (likelihood – 4 x impact x 4).  They were reassured that the mitigation plan was robust but that industrial action had taken its toll, workforce challenges, UEC pressures and cases of high clinical urgency continue to threaten our ability to eliminate 65 week waits.  
</v>
      </c>
    </row>
    <row r="5" spans="1:28" ht="145" x14ac:dyDescent="0.35">
      <c r="A5" s="3" t="str">
        <f>VLOOKUP("*SY042 - R*",'[1]10. Open Risks'!$A$3:$YA$4997,1,FALSE)</f>
        <v>SY042 - R</v>
      </c>
      <c r="B5" s="4" t="str">
        <f>VLOOKUP("*SY042 - R*",'[1]10. Open Risks'!$A$3:$YA$4997,2,FALSE)</f>
        <v>All Places</v>
      </c>
      <c r="C5" s="4" t="str">
        <f>VLOOKUP("*SY042 - R*",'[1]10. Open Risks'!$A$3:$YA$4997,3,FALSE)</f>
        <v>Finance inc Fraud</v>
      </c>
      <c r="D5" s="4" t="str">
        <f>VLOOKUP("*SY042 - R*",'[1]10. Open Risks'!$A$3:$YA$4997,4,FALSE)</f>
        <v>6, 7</v>
      </c>
      <c r="E5" s="4" t="str">
        <f>VLOOKUP("*SY042 - R*",'[1]10. Open Risks'!$A$3:$YA$4997,5,FALSE)</f>
        <v>BAF 1.1.1 BAF 1.3, BAF 4.3</v>
      </c>
      <c r="F5" s="4" t="str">
        <f>VLOOKUP("*SY042 - R*",'[1]10. Open Risks'!$A$3:$YA$4997,6,FALSE)</f>
        <v xml:space="preserve">Service Delivery - There is a risk that the number of transformation workstreams within Places are not delivered which will cause a non delivery of our plans of services population health improvement and potential funding gap.
</v>
      </c>
      <c r="G5" s="4">
        <f>VLOOKUP("*SY042 - R*",'[1]10. Open Risks'!$A$3:$YA$4997,7,FALSE)</f>
        <v>4</v>
      </c>
      <c r="H5" s="4">
        <f>VLOOKUP("*SY042 - R*",'[1]10. Open Risks'!$A$3:$YA$4997,8,FALSE)</f>
        <v>3</v>
      </c>
      <c r="I5" s="75">
        <f>VLOOKUP("*SY042 - R*",'[1]10. Open Risks'!$A$3:$YA$4997,9,FALSE)</f>
        <v>12</v>
      </c>
      <c r="J5" s="138" t="str">
        <f>VLOOKUP("*SY042 - R*",'[1]10. Open Risks'!$A$3:$YA$4997,10,FALSE)</f>
        <v>Accountable</v>
      </c>
      <c r="K5" s="4" t="str">
        <f>VLOOKUP("*SY042 - R*",'[1]10. Open Risks'!$A$3:$YA$4997,11,FALSE)</f>
        <v>1. Rotherham Place Committee  receives updates at regular intervals- papers and verbal updates. 
2. Rotherham Place  Leadership Team meets weekly and can be a  forum for any operational escalations .   
3. The ICB via it's Improvement and Value Meetings (and in conjunction with central PMO) currently undertaking review of 500+ list ed transformation projects with a view to traiging and prioritising. This is a major mitigation .</v>
      </c>
      <c r="L5" s="4" t="str">
        <f>VLOOKUP("*SY042 - R*",'[1]10. Open Risks'!$A$3:$YA$4997,12,FALSE)</f>
        <v>Lee Outhwaite 
Chief Finance Officer</v>
      </c>
      <c r="M5" s="4" t="str">
        <f>VLOOKUP("*SY042 - R*",'[1]10. Open Risks'!$A$3:$YA$4997,13,FALSE)</f>
        <v>Previous CCG Risk Management Processes</v>
      </c>
      <c r="N5" s="4">
        <f>VLOOKUP("*SY042 - R*",'[1]10. Open Risks'!$A$3:$YA$4997,14,FALSE)</f>
        <v>3</v>
      </c>
      <c r="O5" s="4">
        <f>VLOOKUP("*SY042 - R*",'[1]10. Open Risks'!$A$3:$YA$4997,15,FALSE)</f>
        <v>4</v>
      </c>
      <c r="P5" s="91">
        <f>VLOOKUP("*SY042 - R*",'[1]10. Open Risks'!$A$3:$YA$4997,16,FALSE)</f>
        <v>12</v>
      </c>
      <c r="Q5" s="4" t="str">
        <f>VLOOKUP("*SY042 - R*",'[1]10. Open Risks'!$A$3:$YA$4997,17,FALSE)</f>
        <v>30/09/2024
04/11/2024
05/12/2024
30/01/2025
07/02/2025
05/06/2025
22/06/2025
30/07/2025
06/10/2025
05/01/2026</v>
      </c>
      <c r="R5" s="135">
        <f>VLOOKUP("*SY042 - R*",'[1]10. Open Risks'!$A$3:$YA$4997,18,FALSE)</f>
        <v>46117</v>
      </c>
      <c r="S5" s="139" t="str">
        <f>VLOOKUP("*SY042 - R*",'[1]10. Open Risks'!$A$3:$YA$4997,19,FALSE)</f>
        <v>not overdue</v>
      </c>
      <c r="T5" s="4" t="str">
        <f>VLOOKUP("*SY042 - R*",'[1]10. Open Risks'!$A$3:$YA$4997,20,FALSE)</f>
        <v>Wendy Allott
Claire Smith</v>
      </c>
      <c r="U5" s="4" t="str">
        <f>VLOOKUP("*SY042 - R*",'[1]10. Open Risks'!$A$3:$YA$4997,21,FALSE)</f>
        <v xml:space="preserve">July 25 - high impact work is progressing with some successful outcomes in areas such as reducing respiratory admissions, although this is not improving the overall demand on attendances in UEC. Exec meetings with partners are in place with another scheduled for this month. updates through I&amp;V
October 2025 - ICB has met with TRFT colleagues twice now to progress work to look at how we reduce the bed base in acute through management of demand. A3 completed for this workstream 
January 26 -efficiencies have been found for 25 26 and there are plans in place for further in 26 27 = not sufficient in place alone to meet deficit position. Commissioning intentions have picked up priorities relating to demand management considering ability to deliver given reduce resource moving forward  </v>
      </c>
      <c r="V5" s="4" t="str">
        <f>VLOOKUP("*SY042 - R*",'[1]10. Open Risks'!$A$3:$YA$4997,22,FALSE)</f>
        <v>Monthly</v>
      </c>
      <c r="W5" s="4" t="str">
        <f>VLOOKUP("*SY042 - R*",'[1]10. Open Risks'!$A$3:$YA$4997,23,FALSE)</f>
        <v>ICB Place Committee</v>
      </c>
      <c r="X5" s="4" t="str">
        <f>VLOOKUP("*SY042 - R*",'[1]10. Open Risks'!$A$3:$YA$4997,24,FALSE)</f>
        <v>Finance &amp; Investment Committee</v>
      </c>
      <c r="Y5" s="4">
        <f>VLOOKUP("*SY042 - R*",'[1]10. Open Risks'!$A$3:$YA$4997,25,FALSE)</f>
        <v>44900</v>
      </c>
      <c r="Z5" s="4">
        <f>VLOOKUP("*SY042 - R*",'[1]10. Open Risks'!$A$3:$YA$4997,26,FALSE)</f>
        <v>44896</v>
      </c>
      <c r="AA5" s="4">
        <f>VLOOKUP("*SY042 - R*",'[1]10. Open Risks'!$A$3:$YA$4997,27,FALSE)</f>
        <v>869</v>
      </c>
      <c r="AB5" s="5" t="str">
        <f>VLOOKUP("*SY042 - R*",'[1]10. Open Risks'!$A$3:$YA$4997,28,FALSE)</f>
        <v>Discussed at Finance and Investment Committee - identified matching BAF objective (4.3). Residual risk score increased to 5 x 4 = 20
14/10/24 - Split risks now applied on spreadsheet</v>
      </c>
    </row>
    <row r="6" spans="1:28" ht="130.5" x14ac:dyDescent="0.35">
      <c r="A6" s="3" t="str">
        <f>VLOOKUP("*SY040 - R*",'[1]10. Open Risks'!$A$3:$YA$4997,1,FALSE)</f>
        <v>SY040 - R</v>
      </c>
      <c r="B6" s="4" t="str">
        <f>VLOOKUP("*SY040 - R*",'[1]10. Open Risks'!$A$3:$YA$4997,2,FALSE)</f>
        <v>All Places</v>
      </c>
      <c r="C6" s="4" t="str">
        <f>VLOOKUP("*SY040 - R*",'[1]10. Open Risks'!$A$3:$YA$4997,3,FALSE)</f>
        <v>Children and Young People</v>
      </c>
      <c r="D6" s="4" t="str">
        <f>VLOOKUP("*SY040 - R*",'[1]10. Open Risks'!$A$3:$YA$4997,4,FALSE)</f>
        <v>5, 6</v>
      </c>
      <c r="E6" s="4" t="str">
        <f>VLOOKUP("*SY040 - R*",'[1]10. Open Risks'!$A$3:$YA$4997,5,FALSE)</f>
        <v>BAF 1.4.1, BAF 1.4.2, BAF 1.4.3.1, BAF 1.4.3, BAF 1.6.1, BAF 1.6.2, BAF 1.6.3</v>
      </c>
      <c r="F6" s="4" t="str">
        <f>VLOOKUP("*SY040 - R*",'[1]10. Open Risks'!$A$3:$YA$4997,6,FALSE)</f>
        <v>Sustainability of Improvement in CAMHS Service Delivery (Neurodevelopmental Pathway)
There is a risk of reduced sustainability of improvements in the quality of Child and Adolescent Mental Health Services (CAMHS), specifically within the neurodevelopmental pathway, due to long waits across the Integrated Care Board (ICB), with some areas having waits to access neurodevelopmental pathways up to 8 years. This may result in continued dissatisfaction with the service from GPs, families, and children and young people, as well as unmet needs leading to increased acuity in patient presentations</v>
      </c>
      <c r="G6" s="4">
        <f>VLOOKUP("*SY040 - R*",'[1]10. Open Risks'!$A$3:$YA$4997,7,FALSE)</f>
        <v>3</v>
      </c>
      <c r="H6" s="4">
        <f>VLOOKUP("*SY040 - R*",'[1]10. Open Risks'!$A$3:$YA$4997,8,FALSE)</f>
        <v>4</v>
      </c>
      <c r="I6" s="75">
        <f>VLOOKUP("*SY040 - R*",'[1]10. Open Risks'!$A$3:$YA$4997,9,FALSE)</f>
        <v>12</v>
      </c>
      <c r="J6" s="138" t="str">
        <f>VLOOKUP("*SY040 - R*",'[1]10. Open Risks'!$A$3:$YA$4997,10,FALSE)</f>
        <v>Accountable</v>
      </c>
      <c r="K6" s="4" t="str">
        <f>VLOOKUP("*SY040 - R*",'[1]10. Open Risks'!$A$3:$YA$4997,11,FALSE)</f>
        <v>Weekly meeting between RICB and RDaSH, CAMHS and TRFT.  
Monthly CAMHS contract performance meeting.  "</v>
      </c>
      <c r="L6" s="4" t="str">
        <f>VLOOKUP("*SY040 - R*",'[1]10. Open Risks'!$A$3:$YA$4997,12,FALSE)</f>
        <v>Sarah Perkins
Director of Transformation and Delivery</v>
      </c>
      <c r="M6" s="4" t="str">
        <f>VLOOKUP("*SY040 - R*",'[1]10. Open Risks'!$A$3:$YA$4997,13,FALSE)</f>
        <v>Previous CCG Risk Management Processes</v>
      </c>
      <c r="N6" s="4">
        <f>VLOOKUP("*SY040 - R*",'[1]10. Open Risks'!$A$3:$YA$4997,14,FALSE)</f>
        <v>3</v>
      </c>
      <c r="O6" s="4">
        <f>VLOOKUP("*SY040 - R*",'[1]10. Open Risks'!$A$3:$YA$4997,15,FALSE)</f>
        <v>4</v>
      </c>
      <c r="P6" s="75">
        <f>VLOOKUP("*SY040 - R*",'[1]10. Open Risks'!$A$3:$YA$4997,16,FALSE)</f>
        <v>12</v>
      </c>
      <c r="Q6" s="4" t="str">
        <f>VLOOKUP("*SY040 - R*",'[1]10. Open Risks'!$A$3:$YA$4997,17,FALSE)</f>
        <v>23/09/2024
23/12/2024
30/12/2024
01/04/2025
07/04/2025
30/06/2025
07/07/2025
06/10/2025
05/01/2026</v>
      </c>
      <c r="R6" s="135">
        <f>VLOOKUP("*SY040 - R*",'[1]10. Open Risks'!$A$3:$YA$4997,18,FALSE)</f>
        <v>46117</v>
      </c>
      <c r="S6" s="139" t="str">
        <f>VLOOKUP("*SY040 - R*",'[1]10. Open Risks'!$A$3:$YA$4997,19,FALSE)</f>
        <v>not overdue</v>
      </c>
      <c r="T6" s="4" t="str">
        <f>VLOOKUP("*SY040 - R*",'[1]10. Open Risks'!$A$3:$YA$4997,20,FALSE)</f>
        <v>Claire Smith</v>
      </c>
      <c r="U6" s="4" t="str">
        <f>VLOOKUP("*SY040 - R*",'[1]10. Open Risks'!$A$3:$YA$4997,21,FALSE)</f>
        <v>January 2025 - The peer review was superseded as we had an unannounced (CQC/OFSTED) inspection which went well and our outcome is now published. The positive outcome means we wont be inspected for at least 5 years. We have also agreed some non recurrent money for our CDC neurodevelopment assessment service to reduce waiting times (0-5 yrs) a trajectory is being developed with TRFT.  funding transferred to trft and resource increasing to provide support to reduce waits - monitoring in place 
Oct - progressing well with additional resource in place 
Jan 26 - continue to monitor and progressing well wth reduction in those waiting times</v>
      </c>
      <c r="V6" s="4" t="str">
        <f>VLOOKUP("*SY040 - R*",'[1]10. Open Risks'!$A$3:$YA$4997,22,FALSE)</f>
        <v>Quarterly</v>
      </c>
      <c r="W6" s="4" t="str">
        <f>VLOOKUP("*SY040 - R*",'[1]10. Open Risks'!$A$3:$YA$4997,23,FALSE)</f>
        <v>ICB Place Committee</v>
      </c>
      <c r="X6" s="4" t="str">
        <f>VLOOKUP("*SY040 - R*",'[1]10. Open Risks'!$A$3:$YA$4997,24,FALSE)</f>
        <v>Quality Performance Patient Involvement Experience (QPPIE)</v>
      </c>
      <c r="Y6" s="4">
        <f>VLOOKUP("*SY040 - R*",'[1]10. Open Risks'!$A$3:$YA$4997,25,FALSE)</f>
        <v>44900</v>
      </c>
      <c r="Z6" s="4">
        <f>VLOOKUP("*SY040 - R*",'[1]10. Open Risks'!$A$3:$YA$4997,26,FALSE)</f>
        <v>44896</v>
      </c>
      <c r="AA6" s="4">
        <f>VLOOKUP("*SY040 - R*",'[1]10. Open Risks'!$A$3:$YA$4997,27,FALSE)</f>
        <v>869</v>
      </c>
      <c r="AB6" s="5" t="str">
        <f>VLOOKUP("*SY040 - R*",'[1]10. Open Risks'!$A$3:$YA$4997,28,FALSE)</f>
        <v>14/10/24 - Split risks now applied on spreadsheet</v>
      </c>
    </row>
    <row r="7" spans="1:28" ht="188.5" x14ac:dyDescent="0.35">
      <c r="A7" s="3" t="str">
        <f>VLOOKUP("*SY107 - R*",'[1]10. Open Risks'!$A$3:$YA$4997,1,FALSE)</f>
        <v>SY107 - R</v>
      </c>
      <c r="B7" s="4" t="str">
        <f>VLOOKUP("*SY107 - R*",'[1]10. Open Risks'!$A$3:$YA$4997,2,FALSE)</f>
        <v>All Places</v>
      </c>
      <c r="C7" s="4" t="str">
        <f>VLOOKUP("*SY107 - R*",'[1]10. Open Risks'!$A$3:$YA$4997,3,FALSE)</f>
        <v>Children and Young People</v>
      </c>
      <c r="D7" s="4" t="str">
        <f>VLOOKUP("*SY107 - R*",'[1]10. Open Risks'!$A$3:$YA$4997,4,FALSE)</f>
        <v>1,2,3,4,5,6,7,8</v>
      </c>
      <c r="E7" s="4" t="str">
        <f>VLOOKUP("*SY107 - R*",'[1]10. Open Risks'!$A$3:$YA$4997,5,FALSE)</f>
        <v>BAF 1.1, BAF 1.4.3.1, BAF 1.4.3, BAF 1.6.1, BAF 1.6.3</v>
      </c>
      <c r="F7" s="4" t="str">
        <f>VLOOKUP("*SY107 - R*",'[1]10. Open Risks'!$A$3:$YA$4997,6,FALSE)</f>
        <v>Community Paediatrics/Childrens Pathways - There is a risk that current commissioned services, pathways and capacity of the services in place to support people are not aligned to meet the increasing needs of the Children and Young People (CYP) population (Including Autim Spectrum Disorder (ASD) Assessments, Sleep Pathways, Enuresis/Continence Support Speech and Language Therapy (SALT) and other related services is insufficient to meet the increasing demand resulting in people not receiving the timely care and support they require by the most appropriate service in the most appropriate setting. This could result in poor patient experience and impact upon quality of care and support. This also increases the risk that the ICB and Local Authority are unable to meet their statutory duties in relation to Education Health Care Plan (EHCP)/Special Eduacational Needs and Disaibilities (SEND) and means that children and young people are not having their needs met appropriately</v>
      </c>
      <c r="G7" s="4">
        <f>VLOOKUP("*SY107 - R*",'[1]10. Open Risks'!$A$3:$YA$4997,7,FALSE)</f>
        <v>4</v>
      </c>
      <c r="H7" s="4">
        <f>VLOOKUP("*SY107 - R*",'[1]10. Open Risks'!$A$3:$YA$4997,8,FALSE)</f>
        <v>4</v>
      </c>
      <c r="I7" s="74">
        <f>VLOOKUP("*SY107 - R*",'[1]10. Open Risks'!$A$3:$YA$4997,9,FALSE)</f>
        <v>16</v>
      </c>
      <c r="J7" s="140" t="str">
        <f>VLOOKUP("*SY107 - R*",'[1]10. Open Risks'!$A$3:$YA$4997,10,FALSE)</f>
        <v>Responsible</v>
      </c>
      <c r="K7" s="4" t="str">
        <f>VLOOKUP("*SY107 - R*",'[1]10. Open Risks'!$A$3:$YA$4997,11,FALSE)</f>
        <v>1)ICB Place Committees/Leadership - oversight of risk and actions required to mitigate. 
2)QPIE meetings 
3)ICB operational executive
4)Place Governance in place for SEND, jointly with LA
5) CYP community services review agreed with TRFT July 25</v>
      </c>
      <c r="L7" s="4" t="str">
        <f>VLOOKUP("*SY107 - R*",'[1]10. Open Risks'!$A$3:$YA$4997,12,FALSE)</f>
        <v xml:space="preserve">Katy Calvin-Thomas
Barnsley Place Director
</v>
      </c>
      <c r="M7" s="4" t="str">
        <f>VLOOKUP("*SY107 - R*",'[1]10. Open Risks'!$A$3:$YA$4997,13,FALSE)</f>
        <v>OE</v>
      </c>
      <c r="N7" s="4">
        <f>VLOOKUP("*SY107 - R*",'[1]10. Open Risks'!$A$3:$YA$4997,14,FALSE)</f>
        <v>3</v>
      </c>
      <c r="O7" s="4">
        <f>VLOOKUP("*SY107 - R*",'[1]10. Open Risks'!$A$3:$YA$4997,15,FALSE)</f>
        <v>4</v>
      </c>
      <c r="P7" s="75">
        <f>VLOOKUP("*SY107 - R*",'[1]10. Open Risks'!$A$3:$YA$4997,16,FALSE)</f>
        <v>12</v>
      </c>
      <c r="Q7" s="4" t="str">
        <f>VLOOKUP("*SY107 - R*",'[1]10. Open Risks'!$A$3:$YA$4997,17,FALSE)</f>
        <v>23/09/2024
23/12/2024
02/01/2025
01/04/2025
30/06/2025
06/10/2025
05/01/2026</v>
      </c>
      <c r="R7" s="135">
        <f>VLOOKUP("*SY107 - R*",'[1]10. Open Risks'!$A$3:$YA$4997,18,FALSE)</f>
        <v>46117</v>
      </c>
      <c r="S7" s="139" t="str">
        <f>VLOOKUP("*SY107 - R*",'[1]10. Open Risks'!$A$3:$YA$4997,19,FALSE)</f>
        <v>not overdue</v>
      </c>
      <c r="T7" s="4" t="str">
        <f>VLOOKUP("*SY107 - R*",'[1]10. Open Risks'!$A$3:$YA$4997,20,FALSE)</f>
        <v>Claire Smith</v>
      </c>
      <c r="U7" s="4" t="str">
        <f>VLOOKUP("*SY107 - R*",'[1]10. Open Risks'!$A$3:$YA$4997,21,FALSE)</f>
        <v xml:space="preserve">April 2025 - Action plan agreed and now working through actions. CDC have been given non recurrent funding to support the reduction of the waiting list for 0-5yrs over the next 18mths, this is being monitored at Place.           
July - an extension of the adult community services review has been agreed with TRFT to understand the funding/spend within services and agree an action plan to prioritise provision to meet demand. 
Oct - this work is ongoing 
January 2026 - financial analysis has concluded and meeting arranged with the provider to agree next steps </v>
      </c>
      <c r="V7" s="4" t="str">
        <f>VLOOKUP("*SY107 - R*",'[1]10. Open Risks'!$A$3:$YA$4997,22,FALSE)</f>
        <v>Quarterly</v>
      </c>
      <c r="W7" s="4" t="str">
        <f>VLOOKUP("*SY107 - R*",'[1]10. Open Risks'!$A$3:$YA$4997,23,FALSE)</f>
        <v>ICB Place Committee</v>
      </c>
      <c r="X7" s="4" t="str">
        <f>VLOOKUP("*SY107 - R*",'[1]10. Open Risks'!$A$3:$YA$4997,24,FALSE)</f>
        <v>Quality Performance Patient Involvement Experience (QPPIE)</v>
      </c>
      <c r="Y7" s="4">
        <f>VLOOKUP("*SY107 - R*",'[1]10. Open Risks'!$A$3:$YA$4997,25,FALSE)</f>
        <v>45124</v>
      </c>
      <c r="Z7" s="4">
        <f>VLOOKUP("*SY107 - R*",'[1]10. Open Risks'!$A$3:$YA$4997,26,FALSE)</f>
        <v>45108</v>
      </c>
      <c r="AA7" s="4">
        <f>VLOOKUP("*SY107 - R*",'[1]10. Open Risks'!$A$3:$YA$4997,27,FALSE)</f>
        <v>709</v>
      </c>
      <c r="AB7" s="5" t="str">
        <f>VLOOKUP("*SY107 - R*",'[1]10. Open Risks'!$A$3:$YA$4997,28,FALSE)</f>
        <v xml:space="preserve">CQC and OFSTEAD inspection unannounced took place in October we have now had in public the outcome which is extremely positive. Inspectors expected in person week commencing 30th Sept. officers prepared well for this and have complied with all current requests for information, with a level of confidence in our ability to show the good work across our Place. We have also agreed through the SEND exec and Place Exec non recurrent funding  for the CDC neurodevelopment assessments of 0-5 yr olds provided by the Trust. funding agreed March and transferred - increase in resource to support waiting list reduction commenced and being monitored </v>
      </c>
    </row>
    <row r="8" spans="1:28" ht="333.5" x14ac:dyDescent="0.35">
      <c r="A8" s="3" t="str">
        <f>VLOOKUP("*SY021*",'[1]10. Open Risks'!$A$3:$YA$4997,1,FALSE)</f>
        <v xml:space="preserve">SY021
</v>
      </c>
      <c r="B8" s="4" t="str">
        <f>VLOOKUP("*SY021*",'[1]10. Open Risks'!$A$3:$YA$4997,2,FALSE)</f>
        <v>ICB</v>
      </c>
      <c r="C8" s="4" t="str">
        <f>VLOOKUP("*SY021*",'[1]10. Open Risks'!$A$3:$YA$4997,3,FALSE)</f>
        <v>Quality</v>
      </c>
      <c r="D8" s="4" t="str">
        <f>VLOOKUP("*SY021*",'[1]10. Open Risks'!$A$3:$YA$4997,4,FALSE)</f>
        <v>1,2,5,6,8</v>
      </c>
      <c r="E8" s="4" t="str">
        <f>VLOOKUP("*SY021*",'[1]10. Open Risks'!$A$3:$YA$4997,5,FALSE)</f>
        <v>BAF 1.1, BAF 1.6.1</v>
      </c>
      <c r="F8" s="4" t="str">
        <f>VLOOKUP("*SY021*",'[1]10. Open Risks'!$A$3:$YA$4997,6,FALSE)</f>
        <v>Learning Disability Mortality Review (LeDeR) - There is a risk that the ICB will not meet national policy requirements for LeDeR, this is due to delays in agreeing workforce and accountability framework, which may result in learning not being identified and embedded across the system to prevent avoidable deaths and reduce health inequalities.  The ICB will also be in breach of Nationally set KPI's resulting in further action by NHSE</v>
      </c>
      <c r="G8" s="4">
        <f>VLOOKUP("*SY021*",'[1]10. Open Risks'!$A$3:$YA$4997,7,FALSE)</f>
        <v>4</v>
      </c>
      <c r="H8" s="4">
        <f>VLOOKUP("*SY021*",'[1]10. Open Risks'!$A$3:$YA$4997,8,FALSE)</f>
        <v>3</v>
      </c>
      <c r="I8" s="75">
        <f>VLOOKUP("*SY021*",'[1]10. Open Risks'!$A$3:$YA$4997,9,FALSE)</f>
        <v>12</v>
      </c>
      <c r="J8" s="140" t="str">
        <f>VLOOKUP("*SY021*",'[1]10. Open Risks'!$A$3:$YA$4997,10,FALSE)</f>
        <v>Responsible</v>
      </c>
      <c r="K8" s="4" t="str">
        <f>VLOOKUP("*SY021*",'[1]10. Open Risks'!$A$3:$YA$4997,11,FALSE)</f>
        <v>1) Development of a South Yorkshire Approach in line with the national policy Additional resource to address the backlog 
2) Automation and streamlining processes Additional project management resource been allocated from central LDA team</v>
      </c>
      <c r="L8" s="4" t="str">
        <f>VLOOKUP("*SY021*",'[1]10. Open Risks'!$A$3:$YA$4997,12,FALSE)</f>
        <v>Sarah Perkins
Director of Transformation and Delivery</v>
      </c>
      <c r="M8" s="4" t="str">
        <f>VLOOKUP("*SY021*",'[1]10. Open Risks'!$A$3:$YA$4997,13,FALSE)</f>
        <v>Previous CCG Risk Management Processes</v>
      </c>
      <c r="N8" s="4">
        <f>VLOOKUP("*SY021*",'[1]10. Open Risks'!$A$3:$YA$4997,14,FALSE)</f>
        <v>4</v>
      </c>
      <c r="O8" s="4">
        <f>VLOOKUP("*SY021*",'[1]10. Open Risks'!$A$3:$YA$4997,15,FALSE)</f>
        <v>3</v>
      </c>
      <c r="P8" s="75">
        <f>VLOOKUP("*SY021*",'[1]10. Open Risks'!$A$3:$YA$4997,16,FALSE)</f>
        <v>12</v>
      </c>
      <c r="Q8" s="4" t="str">
        <f>VLOOKUP("*SY021*",'[1]10. Open Risks'!$A$3:$YA$4997,17,FALSE)</f>
        <v>01/06/2022
07/12/2022
24/03/2023
30/03/2023                           
16/05/2023
06/06/2023                              
16/06/2023                    
06/07/2023                                     
05/09/2023     
16/10/2023
01/12/2023
10/01/2024
18/04/2024
29/07/2024
31/10/2024
03/02/2025
20/02/2025
07/04/2025
05/07/2025
06/10/2025
08/12/2025
15/12/2025
23/03/2026</v>
      </c>
      <c r="R8" s="135">
        <f>VLOOKUP("*SY021*",'[1]10. Open Risks'!$A$3:$YA$4997,18,FALSE)</f>
        <v>46196</v>
      </c>
      <c r="S8" s="139" t="str">
        <f>VLOOKUP("*SY021*",'[1]10. Open Risks'!$A$3:$YA$4997,19,FALSE)</f>
        <v>Not overdue</v>
      </c>
      <c r="T8" s="4" t="str">
        <f>VLOOKUP("*SY021*",'[1]10. Open Risks'!$A$3:$YA$4997,20,FALSE)</f>
        <v xml:space="preserve">Kelly Glover / Anita Winter                      </v>
      </c>
      <c r="U8" s="4" t="str">
        <f>VLOOKUP("*SY021*",'[1]10. Open Risks'!$A$3:$YA$4997,21,FALSE)</f>
        <v>06/10/25 Rapid Review Process is offering some improvement.  Reviewers have been set targets for completion of reviews per month based on their WTE to try to increase throughput.  The number of notifications being received is increasing now to a daily basis.  The FTC postholder has been extended to 31 March 2026 but a longer term capacity solution is still required.
08/12/25 Number of notifications is increasing so too the number of reviews completed.  Draft ICB Consultation shared. The consultation document contains no reference to the LeDeR function, its continuation, or where it will sit in the new structure, other than noting that the entire LeDeR team has been displaced.  An exit plan is currently being prepared. 
23/03/26 ICB Consultation further extended so unknown if LeDeR will remain in structure and if so, how it will be delivered.  Gemma Davis, reviewer's FTC ends 31/03/26 so Sheffield backlog will now start to build.  ICB and NHSE have no confirmed exit plans.  Team continue to complete reviews but notification received from December 2025 are not being scoped.</v>
      </c>
      <c r="V8" s="4" t="str">
        <f>VLOOKUP("*SY021*",'[1]10. Open Risks'!$A$3:$YA$4997,22,FALSE)</f>
        <v>Quarterly</v>
      </c>
      <c r="W8" s="4" t="str">
        <f>VLOOKUP("*SY021*",'[1]10. Open Risks'!$A$3:$YA$4997,23,FALSE)</f>
        <v>ICB Place Committee</v>
      </c>
      <c r="X8" s="4" t="str">
        <f>VLOOKUP("*SY021*",'[1]10. Open Risks'!$A$3:$YA$4997,24,FALSE)</f>
        <v>Quality Performance Patient Involvement Experience (QPPIE)</v>
      </c>
      <c r="Y8" s="4">
        <f>VLOOKUP("*SY021*",'[1]10. Open Risks'!$A$3:$YA$4997,25,FALSE)</f>
        <v>44713</v>
      </c>
      <c r="Z8" s="4">
        <f>VLOOKUP("*SY021*",'[1]10. Open Risks'!$A$3:$YA$4997,26,FALSE)</f>
        <v>44713</v>
      </c>
      <c r="AA8" s="4">
        <f>VLOOKUP("*SY021*",'[1]10. Open Risks'!$A$3:$YA$4997,27,FALSE)</f>
        <v>1002</v>
      </c>
      <c r="AB8" s="5" t="str">
        <f>VLOOKUP("*SY021*",'[1]10. Open Risks'!$A$3:$YA$4997,28,FALSE)</f>
        <v>Residual likelihood reduced to 3 from 4 due to the ongoing development work and mitigations particularly due to making the fixed term post a permanent post which was due to finish in March 25.</v>
      </c>
    </row>
    <row r="9" spans="1:28" ht="409.5" x14ac:dyDescent="0.35">
      <c r="A9" s="3" t="str">
        <f>VLOOKUP("*SY082*",'[1]10. Open Risks'!$A$3:$YA$4997,1,FALSE)</f>
        <v>SY082 - System</v>
      </c>
      <c r="B9" s="4" t="str">
        <f>VLOOKUP("*SY082*",'[1]10. Open Risks'!$A$3:$YA$4997,2,FALSE)</f>
        <v>All Places</v>
      </c>
      <c r="C9" s="4" t="str">
        <f>VLOOKUP("*SY082*",'[1]10. Open Risks'!$A$3:$YA$4997,3,FALSE)</f>
        <v>Mental Health Services inc. LD/Autism/CAMHS</v>
      </c>
      <c r="D9" s="4" t="str">
        <f>VLOOKUP("*SY082*",'[1]10. Open Risks'!$A$3:$YA$4997,4,FALSE)</f>
        <v>1,2,3,5,6</v>
      </c>
      <c r="E9" s="4" t="str">
        <f>VLOOKUP("*SY082*",'[1]10. Open Risks'!$A$3:$YA$4997,5,FALSE)</f>
        <v>BAF 1.4.1, BAF 1.6.3, BAF 2.9</v>
      </c>
      <c r="F9" s="4" t="str">
        <f>VLOOKUP("*SY082*",'[1]10. Open Risks'!$A$3:$YA$4997,6,FALSE)</f>
        <v xml:space="preserve">Adult Mental Health (MEED) - There is a risk of increased presentation of eating disorders in adults, across the ICB. . This is due to unmet need and lack of provision in this pathway across the system. Secondly there are issues around the current available services and the capacity of these to meet the needs of patients already known to services (all-age). Lastly, there is an increased need in the adult eating disorder pathway following Covid-19 and an exponential growth in the number of children and young people with eating disorders who are now transitioning to adult services. This is leading to increased acuity in presentations, increased demand on primary care, impact in acute hospital trusts (Medical Emergency in Eating Disorders [MEED] pathways) and increased demand on crisis provision and inpatient beds. </v>
      </c>
      <c r="G9" s="4">
        <f>VLOOKUP("*SY082*",'[1]10. Open Risks'!$A$3:$YA$4997,7,FALSE)</f>
        <v>3</v>
      </c>
      <c r="H9" s="4">
        <f>VLOOKUP("*SY082*",'[1]10. Open Risks'!$A$3:$YA$4997,8,FALSE)</f>
        <v>4</v>
      </c>
      <c r="I9" s="75">
        <f>VLOOKUP("*SY082*",'[1]10. Open Risks'!$A$3:$YA$4997,9,FALSE)</f>
        <v>12</v>
      </c>
      <c r="J9" s="138" t="str">
        <f>VLOOKUP("*SY082*",'[1]10. Open Risks'!$A$3:$YA$4997,10,FALSE)</f>
        <v>Accountable</v>
      </c>
      <c r="K9" s="4" t="str">
        <f>VLOOKUP("*SY082*",'[1]10. Open Risks'!$A$3:$YA$4997,11,FALSE)</f>
        <v>1)A partnership SY Eating Disorders programme, managed by the Provider Collaborative, is in place bringing together good practice, raising the profile of the need for improvements of services and collectively reviewing risks/priorities. 
2)There is some commissioned provision with Sheffield Eating Disorders Service (SEDS) provided by SHSC for Sheffield, Barnsley and Rotherham. This is also accessed by some Doncaster patients via patient choice mechanisms.
3)There is a service for low to moderate support commissioned across South Yorkshire with SYEDA.   
4)Support is provided to Acute Trusts from Mental Health Liaison Teams when patients are admitted with an eating disorder. MEED baseline work has been completed including current pathways and self-assessment of compliance.
5) Investment identified to expand services in Barnsley, Doncaster and Rotherham has been confirmed. SHSC will be the lead provider for the service via their SEDs team and recruitment to the expansion posts is currently underway, with staff expected to start in the Autumn 2025. 
6) MEED pathway work being jointly developed by Acute Federation and SY MHLDA Provider Collaborative. Plan to introduce a funded, co-ordinated service and oversight utilising 2025/26 funding. – New update: A paper was tabled at the Joint Committee for Eating Disorders on 11 August 2025 proposing to decommission a service called Stepping Stones that has been a pilot under specialised commissioning and reinvest the funds to implement a part year support proposal of: 
• 2 MEED workers
• 2 PAs of a Consultant
The cost would be £160,870 FYE or £67,055 for 25/26 PYE from November onwards, which is when recruitment could potentially be underway. 
7) Safe decommissioning of adult stepping stones service, with funding reallocated to support the recruitment of an adult MEED worker.</v>
      </c>
      <c r="L9" s="4" t="str">
        <f>VLOOKUP("*SY082*",'[1]10. Open Risks'!$A$3:$YA$4997,12,FALSE)</f>
        <v>Sarah Perkins
Director of Transformation and Delivery</v>
      </c>
      <c r="M9" s="4" t="str">
        <f>VLOOKUP("*SY082*",'[1]10. Open Risks'!$A$3:$YA$4997,13,FALSE)</f>
        <v>Claire Smith following public complaints</v>
      </c>
      <c r="N9" s="4">
        <f>VLOOKUP("*SY082*",'[1]10. Open Risks'!$A$3:$YA$4997,14,FALSE)</f>
        <v>3</v>
      </c>
      <c r="O9" s="4">
        <f>VLOOKUP("*SY082*",'[1]10. Open Risks'!$A$3:$YA$4997,15,FALSE)</f>
        <v>4</v>
      </c>
      <c r="P9" s="75">
        <f>VLOOKUP("*SY082*",'[1]10. Open Risks'!$A$3:$YA$4997,16,FALSE)</f>
        <v>12</v>
      </c>
      <c r="Q9" s="4" t="str">
        <f>VLOOKUP("*SY082*",'[1]10. Open Risks'!$A$3:$YA$4997,17,FALSE)</f>
        <v>05/12/2022 
24/03/2023            
30/03/2023                                               19/04/2023                                         02/05/23                  04/05/2023                16/05/2023                     01/06/2023                    03/07/2023                    06/07/2023               01/08/2023
14/08/2023                 04/09/2023                                     16/10/2023                  01/11/2023
03/01/2024
08/01/2024
17/01/2024
01/02/2024
06/02/2024
01/03/2024
14/03/2024
15/04/2024
22/04/2024
29/07/2024
05/08/2024
16/09/2024
23/09/2024
26/09/2024
30/09/2024
01/11/2024
30/12/2024
03/02/2025
11/03/2025
07/04/2025
15/07/2025
18/08/2025
06/10/2025
06/01/2026</v>
      </c>
      <c r="R9" s="135">
        <f>VLOOKUP("*SY082*",'[1]10. Open Risks'!$A$3:$YA$4997,18,FALSE)</f>
        <v>46118</v>
      </c>
      <c r="S9" s="139" t="str">
        <f>VLOOKUP("*SY082*",'[1]10. Open Risks'!$A$3:$YA$4997,19,FALSE)</f>
        <v>Not overdue</v>
      </c>
      <c r="T9" s="4" t="str">
        <f>VLOOKUP("*SY082*",'[1]10. Open Risks'!$A$3:$YA$4997,20,FALSE)</f>
        <v>Sarah Boul</v>
      </c>
      <c r="U9" s="4" t="str">
        <f>VLOOKUP("*SY082*",'[1]10. Open Risks'!$A$3:$YA$4997,21,FALSE)</f>
        <v xml:space="preserve">January 2026 - Referrals are now flowing from Barnsley, Doncaster, and Rotherham, indicating successful expansion of community eating disorder services. Actions are progressing well with the proposal for Phase one of the MEED development whereby all existing adult providers receiving additional funding for medical and practitioner time.   Job descriptions have been drafted and EDJC communications with acute leaders are underway. A requirement for a second phase of changes from October 2026 will be strengthened in the ICB commissioning intentions. There are ongoing discussions regarding reconfiguration of the inpatient estate to better meet patients needs locally and capital bids have been submitted to seek funding to support this. </v>
      </c>
      <c r="V9" s="4" t="str">
        <f>VLOOKUP("*SY082*",'[1]10. Open Risks'!$A$3:$YA$4997,22,FALSE)</f>
        <v>Quarterly</v>
      </c>
      <c r="W9" s="4" t="str">
        <f>VLOOKUP("*SY082*",'[1]10. Open Risks'!$A$3:$YA$4997,23,FALSE)</f>
        <v>ICB Place Committee</v>
      </c>
      <c r="X9" s="4" t="str">
        <f>VLOOKUP("*SY082*",'[1]10. Open Risks'!$A$3:$YA$4997,24,FALSE)</f>
        <v>Quality Performance Patient Involvement Experience (QPPIE)</v>
      </c>
      <c r="Y9" s="4">
        <f>VLOOKUP("*SY082*",'[1]10. Open Risks'!$A$3:$YA$4997,25,FALSE)</f>
        <v>44900</v>
      </c>
      <c r="Z9" s="4">
        <f>VLOOKUP("*SY082*",'[1]10. Open Risks'!$A$3:$YA$4997,26,FALSE)</f>
        <v>44896</v>
      </c>
      <c r="AA9" s="4">
        <f>VLOOKUP("*SY082*",'[1]10. Open Risks'!$A$3:$YA$4997,27,FALSE)</f>
        <v>869</v>
      </c>
      <c r="AB9" s="5" t="str">
        <f>VLOOKUP("*SY082*",'[1]10. Open Risks'!$A$3:$YA$4997,28,FALSE)</f>
        <v>Assessment of the balance of risk to be completed post outcome of discussions with MH Provider Collaborative. 
Sheffield: 07/08/24 - Corporate Risk Team met with WL. Action for IA to review score and provide update in conjunction with Sarah Boul</v>
      </c>
    </row>
    <row r="10" spans="1:28" ht="389.5" customHeight="1" x14ac:dyDescent="0.35">
      <c r="A10" s="3" t="str">
        <f>VLOOKUP("*SY016*",'[1]10. Open Risks'!$A$3:$YA$4997,1,FALSE)</f>
        <v xml:space="preserve">SY016
</v>
      </c>
      <c r="B10" s="4" t="str">
        <f>VLOOKUP("*SY016*",'[1]10. Open Risks'!$A$3:$YA$4997,2,FALSE)</f>
        <v>ICB</v>
      </c>
      <c r="C10" s="4" t="str">
        <f>VLOOKUP("*SY016*",'[1]10. Open Risks'!$A$3:$YA$4997,3,FALSE)</f>
        <v>Finance inc Fraud</v>
      </c>
      <c r="D10" s="4" t="str">
        <f>VLOOKUP("*SY016*",'[1]10. Open Risks'!$A$3:$YA$4997,4,FALSE)</f>
        <v>1,3,5,6</v>
      </c>
      <c r="E10" s="4" t="str">
        <f>VLOOKUP("*SY016*",'[1]10. Open Risks'!$A$3:$YA$4997,5,FALSE)</f>
        <v>BAF 1.3</v>
      </c>
      <c r="F10" s="4" t="str">
        <f>VLOOKUP("*SY016*",'[1]10. Open Risks'!$A$3:$YA$4997,6,FALSE)</f>
        <v>Fraud - There is a risk that Continuing Healthcare (CHC) / Personal Health Budget (PHB) funds provided for patient care are intentionally diverted by patients or their carers for other means not care related due to fraudulent activity resulting in loss of revenue for the ICB and lack of care for patients.</v>
      </c>
      <c r="G10" s="4">
        <f>VLOOKUP("*SY016*",'[1]10. Open Risks'!$A$3:$YA$4997,7,FALSE)</f>
        <v>3</v>
      </c>
      <c r="H10" s="4">
        <f>VLOOKUP("*SY016*",'[1]10. Open Risks'!$A$3:$YA$4997,8,FALSE)</f>
        <v>4</v>
      </c>
      <c r="I10" s="75">
        <f>VLOOKUP("*SY016*",'[1]10. Open Risks'!$A$3:$YA$4997,9,FALSE)</f>
        <v>12</v>
      </c>
      <c r="J10" s="140" t="str">
        <f>VLOOKUP("*SY016*",'[1]10. Open Risks'!$A$3:$YA$4997,10,FALSE)</f>
        <v>Responsible</v>
      </c>
      <c r="K10" s="4" t="str">
        <f>VLOOKUP("*SY016*",'[1]10. Open Risks'!$A$3:$YA$4997,11,FALSE)</f>
        <v>1)Robust policies for CHC and PHB.
2)Broadcare used where there are checks against costs.
3)PHBs are regularly audited
4)Where a risk may be evidence, advice would be requested from the Local Counter Fraud Officer.
5)All PHBs are signed and authorised 
6) PHB are audited</v>
      </c>
      <c r="L10" s="4" t="str">
        <f>VLOOKUP("*SY016*",'[1]10. Open Risks'!$A$3:$YA$4997,12,FALSE)</f>
        <v>Lee Outhwaite 
Chief Finance Officer</v>
      </c>
      <c r="M10" s="4" t="str">
        <f>VLOOKUP("*SY016*",'[1]10. Open Risks'!$A$3:$YA$4997,13,FALSE)</f>
        <v>Previous CCG Risk Management Processes</v>
      </c>
      <c r="N10" s="4">
        <f>VLOOKUP("*SY016*",'[1]10. Open Risks'!$A$3:$YA$4997,14,FALSE)</f>
        <v>3</v>
      </c>
      <c r="O10" s="4">
        <f>VLOOKUP("*SY016*",'[1]10. Open Risks'!$A$3:$YA$4997,15,FALSE)</f>
        <v>3</v>
      </c>
      <c r="P10" s="75">
        <f>VLOOKUP("*SY016*",'[1]10. Open Risks'!$A$3:$YA$4997,16,FALSE)</f>
        <v>9</v>
      </c>
      <c r="Q10" s="4" t="str">
        <f>VLOOKUP("*SY016*",'[1]10. Open Risks'!$A$3:$YA$4997,17,FALSE)</f>
        <v>18/11/2022
02/03/2023
23/03/2023                                                           19/04/2023                         02/05/2023               16/05/2023                        15/06/2023                    06/07/2023     13/10/2023   01/11/2023  01/12/2023   03/01/2024
01/03/2024
22/07/2024
01/08/2024
09/09/2024
06/01/2025
06/02/2025
22/06/2025
30/07/2025
10/09/2025
13/10/2025
07/01/2026</v>
      </c>
      <c r="R10" s="135">
        <f>VLOOKUP("*SY016*",'[1]10. Open Risks'!$A$3:$YA$4997,18,FALSE)</f>
        <v>46119</v>
      </c>
      <c r="S10" s="139" t="str">
        <f>VLOOKUP("*SY016*",'[1]10. Open Risks'!$A$3:$YA$4997,19,FALSE)</f>
        <v>Not overdue</v>
      </c>
      <c r="T10" s="4" t="str">
        <f>VLOOKUP("*SY016*",'[1]10. Open Risks'!$A$3:$YA$4997,20,FALSE)</f>
        <v xml:space="preserve">Hayley Tingle (Leading on CHC Budget)
</v>
      </c>
      <c r="U10" s="4" t="str">
        <f>VLOOKUP("*SY016*",'[1]10. Open Risks'!$A$3:$YA$4997,21,FALSE)</f>
        <v>July 2025 - All four places:  Audits undertaken identified specific risks in relation to PHB.  Developing action plan in conjunction with Local Authority (LA) to ensure robust system and processes are in place to mitigate. This is part of our regular meetings with LA . 
Looking to bring this in house within the ICB as the finance function develops its roles.
September 2025  , This continues to be on the CHC PID workplan for 25/26 although a refresh / review of the PID is currently taking place following the Model Blue Print for the ICB and where this function may sit in future , for assurance we continue to have regular audits for both in house and LA commissioned services to ensure no significant balances are built up by patients 
October 2025 - No further updates, this is being taken forward within the PID</v>
      </c>
      <c r="V10" s="4" t="str">
        <f>VLOOKUP("*SY016*",'[1]10. Open Risks'!$A$3:$YA$4997,22,FALSE)</f>
        <v>Quarterly</v>
      </c>
      <c r="W10" s="4" t="str">
        <f>VLOOKUP("*SY016*",'[1]10. Open Risks'!$A$3:$YA$4997,23,FALSE)</f>
        <v>ICB Place Committee</v>
      </c>
      <c r="X10" s="4" t="str">
        <f>VLOOKUP("*SY016*",'[1]10. Open Risks'!$A$3:$YA$4997,24,FALSE)</f>
        <v>Audit and Risk Committee</v>
      </c>
      <c r="Y10" s="4">
        <f>VLOOKUP("*SY016*",'[1]10. Open Risks'!$A$3:$YA$4997,25,FALSE)</f>
        <v>44883</v>
      </c>
      <c r="Z10" s="4">
        <f>VLOOKUP("*SY016*",'[1]10. Open Risks'!$A$3:$YA$4997,26,FALSE)</f>
        <v>44866</v>
      </c>
      <c r="AA10" s="4">
        <f>VLOOKUP("*SY016*",'[1]10. Open Risks'!$A$3:$YA$4997,27,FALSE)</f>
        <v>880</v>
      </c>
      <c r="AB10" s="5" t="str">
        <f>VLOOKUP("*SY016*",'[1]10. Open Risks'!$A$3:$YA$4997,28,FALSE)</f>
        <v>no further updates , continue to explore in house option which takes the audit function away from LA . This is part of the CHC / Individual Placement PID which aims to ensure consistency of approach across the 4 places . The move away from LA will be part of this work . Meanwhile assurances and monitoring are obtained from LA to mitigate any risk of balances being accrued and action taken .
6/02/25 No further updates , this forms part of the PID work plan in 25/26</v>
      </c>
    </row>
    <row r="11" spans="1:28" ht="129.5" customHeight="1" x14ac:dyDescent="0.35">
      <c r="A11" s="3" t="str">
        <f>VLOOKUP("*SY044 - R*",'[1]10. Open Risks'!$A$3:$YA$4997,1,FALSE)</f>
        <v>SY044 - R</v>
      </c>
      <c r="B11" s="4" t="str">
        <f>VLOOKUP("*SY044 - R*",'[1]10. Open Risks'!$A$3:$YA$4997,2,FALSE)</f>
        <v>All Places</v>
      </c>
      <c r="C11" s="4" t="str">
        <f>VLOOKUP("*SY044 - R*",'[1]10. Open Risks'!$A$3:$YA$4997,3,FALSE)</f>
        <v>Data</v>
      </c>
      <c r="D11" s="4" t="str">
        <f>VLOOKUP("*SY044 - R*",'[1]10. Open Risks'!$A$3:$YA$4997,4,FALSE)</f>
        <v>1,5,6,8</v>
      </c>
      <c r="E11" s="4" t="str">
        <f>VLOOKUP("*SY044 - R*",'[1]10. Open Risks'!$A$3:$YA$4997,5,FALSE)</f>
        <v xml:space="preserve">BAF 1.1.1, BAF 1.7, BAF 2.1, BAF 2,7,1, BAF 2.10, BAF 2.12, BAF 4.3 </v>
      </c>
      <c r="F11" s="4" t="str">
        <f>VLOOKUP("*SY044 - R*",'[1]10. Open Risks'!$A$3:$YA$4997,6,FALSE)</f>
        <v xml:space="preserve">Tackling Health Inequalities – the impact of the Covid-19 pandemic has been far reaching, and the social, economic and health impacts on each of our Place populations has created a challenge on health inequality and improving outcomes. Our system must be focussed on tackling health inequalities and ensuring we are informed by high quality data that is owned across partners for us to focus our priorities on areas of greatest need and impact for the population. </v>
      </c>
      <c r="G11" s="4">
        <f>VLOOKUP("*SY044 - R*",'[1]10. Open Risks'!$A$3:$YA$4997,7,FALSE)</f>
        <v>5</v>
      </c>
      <c r="H11" s="4">
        <f>VLOOKUP("*SY044 - R*",'[1]10. Open Risks'!$A$3:$YA$4997,8,FALSE)</f>
        <v>5</v>
      </c>
      <c r="I11" s="90">
        <f>VLOOKUP("*SY044 - R*",'[1]10. Open Risks'!$A$3:$YA$4997,9,FALSE)</f>
        <v>25</v>
      </c>
      <c r="J11" s="138" t="str">
        <f>VLOOKUP("*SY044 - R*",'[1]10. Open Risks'!$A$3:$YA$4997,10,FALSE)</f>
        <v>Accountable</v>
      </c>
      <c r="K11" s="4" t="str">
        <f>VLOOKUP("*SY044 - R*",'[1]10. Open Risks'!$A$3:$YA$4997,11,FALSE)</f>
        <v xml:space="preserve">1) Established Integrated Care Partnership and agreed strategy - this is how we will work together as a system to reduce health inequalities.  
2)Developing a joint NHS forward plan will have focus on how we work with others to reduce health inequalities in NHS. 
3) 4 health and care place partnership plans developing in places have a focus on health inequalities working with Local Authorities, voluntary sector and others.
4) Integrated Care Board developed  purpose and ambition one of the ambition is  to tackle health inequalities. </v>
      </c>
      <c r="L11" s="4" t="str">
        <f>VLOOKUP("*SY044 - R*",'[1]10. Open Risks'!$A$3:$YA$4997,12,FALSE)</f>
        <v>Anthony Fitzgerald 
Doncaster / Rotherham Place Director</v>
      </c>
      <c r="M11" s="4" t="str">
        <f>VLOOKUP("*SY044 - R*",'[1]10. Open Risks'!$A$3:$YA$4997,13,FALSE)</f>
        <v xml:space="preserve">CCG Due Diligence Assurance Letters </v>
      </c>
      <c r="N11" s="4">
        <f>VLOOKUP("*SY044 - R*",'[1]10. Open Risks'!$A$3:$YA$4997,14,FALSE)</f>
        <v>3</v>
      </c>
      <c r="O11" s="4">
        <f>VLOOKUP("*SY044 - R*",'[1]10. Open Risks'!$A$3:$YA$4997,15,FALSE)</f>
        <v>3</v>
      </c>
      <c r="P11" s="75">
        <f>VLOOKUP("*SY044 - R*",'[1]10. Open Risks'!$A$3:$YA$4997,16,FALSE)</f>
        <v>9</v>
      </c>
      <c r="Q11" s="4" t="str">
        <f>VLOOKUP("*SY044 - R*",'[1]10. Open Risks'!$A$3:$YA$4997,17,FALSE)</f>
        <v>23/09/2024
30/12/2024
30/01/2025
01/04/2025
07/04/2025
30/06/2025
07/07/2025
06/10/2025
05/01/2026</v>
      </c>
      <c r="R11" s="135">
        <f>VLOOKUP("*SY044 - R*",'[1]10. Open Risks'!$A$3:$YA$4997,18,FALSE)</f>
        <v>46118</v>
      </c>
      <c r="S11" s="139" t="str">
        <f>VLOOKUP("*SY044 - R*",'[1]10. Open Risks'!$A$3:$YA$4997,19,FALSE)</f>
        <v>not overdue</v>
      </c>
      <c r="T11" s="4" t="str">
        <f>VLOOKUP("*SY044 - R*",'[1]10. Open Risks'!$A$3:$YA$4997,20,FALSE)</f>
        <v>Claire Smith</v>
      </c>
      <c r="U11" s="4" t="str">
        <f>VLOOKUP("*SY044 - R*",'[1]10. Open Risks'!$A$3:$YA$4997,21,FALSE)</f>
        <v>January 26 - approach agreed, ops group established and starting to progress communication plans and key actions in next 12 mths. Place board in Jan will receive a further update</v>
      </c>
      <c r="V11" s="4" t="str">
        <f>VLOOKUP("*SY044 - R*",'[1]10. Open Risks'!$A$3:$YA$4997,22,FALSE)</f>
        <v>Quarterly</v>
      </c>
      <c r="W11" s="4" t="str">
        <f>VLOOKUP("*SY044 - R*",'[1]10. Open Risks'!$A$3:$YA$4997,23,FALSE)</f>
        <v>ICB Place Committee</v>
      </c>
      <c r="X11" s="4" t="str">
        <f>VLOOKUP("*SY044 - R*",'[1]10. Open Risks'!$A$3:$YA$4997,24,FALSE)</f>
        <v>Quality Performance Patient Involvement Experience (QPPIE)</v>
      </c>
      <c r="Y11" s="4">
        <f>VLOOKUP("*SY044 - R*",'[1]10. Open Risks'!$A$3:$YA$4997,25,FALSE)</f>
        <v>44900</v>
      </c>
      <c r="Z11" s="4">
        <f>VLOOKUP("*SY044 - R*",'[1]10. Open Risks'!$A$3:$YA$4997,26,FALSE)</f>
        <v>44896</v>
      </c>
      <c r="AA11" s="4">
        <f>VLOOKUP("*SY044 - R*",'[1]10. Open Risks'!$A$3:$YA$4997,27,FALSE)</f>
        <v>869</v>
      </c>
      <c r="AB11" s="5" t="str">
        <f>VLOOKUP("*SY044 - R*",'[1]10. Open Risks'!$A$3:$YA$4997,28,FALSE)</f>
        <v xml:space="preserve">October 2025 - Through the recommissioning, there was a strong focus on making the service more holistic, sustainable, and considering wider outcomes, including mental health as part of the approach to measuring success. In Janruary 2025 the h&amp;WB chair facilitated a development session to support the refresh of the strategy, this included analysis of our health inequalities data and key areas for improvement across health outcomes. The strategy is expected to be refreshed in the by Q3 2025/26. Our Place Plan will also be refreshed in this timeline. Both will incorporate key priorities around health inequalities. We have also now launched (November 2024) the proactive care model - neighbourhood MDT working to support the prevention agenda. Refresh of Pop Health action plan at Place is underway with an event in May 25 to agree priorities, we have also had a Placed based neighbourhood working workshop in late June and are now moving forward with the maturity matrix to understand where we are against the national model and key next steps. discussion are also underway to understand how Place will continue to manage our Place Plan and board moving forward as the ICB changes in its model. Rotherham is now a national pilot site for INTs with 2 events taking place in September and Oct to agree our approach to neighbourhood working. NHSE coach has started working with us. </v>
      </c>
    </row>
    <row r="12" spans="1:28" ht="261" x14ac:dyDescent="0.35">
      <c r="A12" s="3" t="str">
        <f>VLOOKUP("*SY066*",'[1]10. Open Risks'!$A$3:$YA$4997,1,FALSE)</f>
        <v>SY066</v>
      </c>
      <c r="B12" s="4" t="str">
        <f>VLOOKUP("*SY066*",'[1]10. Open Risks'!$A$3:$YA$4997,2,FALSE)</f>
        <v>ICB</v>
      </c>
      <c r="C12" s="4" t="str">
        <f>VLOOKUP("*SY066*",'[1]10. Open Risks'!$A$3:$YA$4997,3,FALSE)</f>
        <v>Adult Services</v>
      </c>
      <c r="D12" s="4" t="str">
        <f>VLOOKUP("*SY066*",'[1]10. Open Risks'!$A$3:$YA$4997,4,FALSE)</f>
        <v>1,5,6</v>
      </c>
      <c r="E12" s="4" t="str">
        <f>VLOOKUP("*SY066*",'[1]10. Open Risks'!$A$3:$YA$4997,5,FALSE)</f>
        <v>BAF 2.13</v>
      </c>
      <c r="F12" s="4" t="str">
        <f>VLOOKUP("*SY066*",'[1]10. Open Risks'!$A$3:$YA$4997,6,FALSE)</f>
        <v>Delayed Discharge from Hospital both Acute and Mental Health - Impacting on Ambulance Handover delays, pressure in system compounded by Industrial Action (IA), capacity, workforce gaps both within and outside of acute care leading to the potential for deconditioning, further delays, avoidable harm and poor experience.  Wrong place of care for optimum therapeutic treatment for people with mental health, Learning Disabilities and Autism (LDA) diagnosis.</v>
      </c>
      <c r="G12" s="4">
        <f>VLOOKUP("*SY066*",'[1]10. Open Risks'!$A$3:$YA$4997,7,FALSE)</f>
        <v>4</v>
      </c>
      <c r="H12" s="4">
        <f>VLOOKUP("*SY066*",'[1]10. Open Risks'!$A$3:$YA$4997,8,FALSE)</f>
        <v>3</v>
      </c>
      <c r="I12" s="75">
        <f>VLOOKUP("*SY066*",'[1]10. Open Risks'!$A$3:$YA$4997,9,FALSE)</f>
        <v>12</v>
      </c>
      <c r="J12" s="140" t="str">
        <f>VLOOKUP("*SY066*",'[1]10. Open Risks'!$A$3:$YA$4997,10,FALSE)</f>
        <v>Accountable</v>
      </c>
      <c r="K12" s="4" t="str">
        <f>VLOOKUP("*SY066*",'[1]10. Open Risks'!$A$3:$YA$4997,11,FALSE)</f>
        <v>1.Ongoing priority work as part of Urgent Emergency Care (UEC) alliance and priorities within each Place.  
2. Creative workforce solutions being explored.  Areas of good practice being shared via system executive leaders group.
3.Mental health Learning Disability and Autism (MHLDA) Programme
4. Monitoring of SI’s through quality forums
5. Ongoing Quality Improvement (QI) work with Emergency Care Improvement Support Team (ECIST)
6.Review of oversight across multiple mental commissioners planned.
7.System Efficiency Board convened across the ICS with focus on: Unfunded bed base / UEC demand to provide greater focus and visibility of ongoing UEC work at a place and/or system level and the likely impact on current provider unscheduled care / activity related cost pressures
8.Discharge pathways 
9.Trusted Assessor models
10. Virtual Wards, and 
11. escalation through ROC and TCG structures.
12. UEC Mental health workshop held Aug 2025</v>
      </c>
      <c r="L12" s="4" t="str">
        <f>VLOOKUP("*SY066*",'[1]10. Open Risks'!$A$3:$YA$4997,12,FALSE)</f>
        <v>Dr David Crichton (Chief Medical Officer)</v>
      </c>
      <c r="M12" s="4" t="str">
        <f>VLOOKUP("*SY066*",'[1]10. Open Risks'!$A$3:$YA$4997,13,FALSE)</f>
        <v>SQG - Regional Quality Group</v>
      </c>
      <c r="N12" s="4">
        <f>VLOOKUP("*SY066*",'[1]10. Open Risks'!$A$3:$YA$4997,14,FALSE)</f>
        <v>3</v>
      </c>
      <c r="O12" s="4">
        <f>VLOOKUP("*SY066*",'[1]10. Open Risks'!$A$3:$YA$4997,15,FALSE)</f>
        <v>2</v>
      </c>
      <c r="P12" s="160">
        <f>VLOOKUP("*SY066*",'[1]10. Open Risks'!$A$3:$YA$4997,16,FALSE)</f>
        <v>6</v>
      </c>
      <c r="Q12" s="4" t="str">
        <f>VLOOKUP("*SY066*",'[1]10. Open Risks'!$A$3:$YA$4997,17,FALSE)</f>
        <v>18/12/2022
02/03/2023
16/03/2023                 16/05/2023                               02/06/2023                    06/07/2023                               21/09/2023             16/10/2023           10/11/2023
09/01/2024
21/02/2024
27/05/2024
01/07/2024
01/10/2024
30/12/2024
14/04/2025
28/04/2025
27/10/2025</v>
      </c>
      <c r="R12" s="135">
        <f>VLOOKUP("*SY066*",'[1]10. Open Risks'!$A$3:$YA$4997,18,FALSE)</f>
        <v>46139</v>
      </c>
      <c r="S12" s="139" t="str">
        <f>VLOOKUP("*SY066*",'[1]10. Open Risks'!$A$3:$YA$4997,19,FALSE)</f>
        <v>Not overdue</v>
      </c>
      <c r="T12" s="4" t="str">
        <f>VLOOKUP("*SY066*",'[1]10. Open Risks'!$A$3:$YA$4997,20,FALSE)</f>
        <v>Katie Roebuck-Marfleet</v>
      </c>
      <c r="U12" s="4" t="str">
        <f>VLOOKUP("*SY066*",'[1]10. Open Risks'!$A$3:$YA$4997,21,FALSE)</f>
        <v>April 2025 - Risk of delayed discharge from acute and mental health hospitals, continuing to impact ambulance handover times and increase pressure across the system. Although industrial action has reduced, ongoing workforce gaps across acute, community, mental health, and social care sectors continue to affect flow. Patients are at ongoing risk of deconditioning, avoidable harm, and poor experience due to discharge delays. There remains a risk of patients with mental health needs, learning disabilities (LD) or autism (LDA) being placed in sub-optimal care settings, impacting recovery outcomes. 
October 2025 - UEC Mental health workshop held in August 2025, follow up objectives to progress</v>
      </c>
      <c r="V12" s="4" t="str">
        <f>VLOOKUP("*SY066*",'[1]10. Open Risks'!$A$3:$YA$4997,22,FALSE)</f>
        <v>Six Monthly</v>
      </c>
      <c r="W12" s="4" t="str">
        <f>VLOOKUP("*SY066*",'[1]10. Open Risks'!$A$3:$YA$4997,23,FALSE)</f>
        <v>ICB Place Committee</v>
      </c>
      <c r="X12" s="4" t="str">
        <f>VLOOKUP("*SY066*",'[1]10. Open Risks'!$A$3:$YA$4997,24,FALSE)</f>
        <v>Quality Performance Patient Involvement Experience (QPPIE)</v>
      </c>
      <c r="Y12" s="4">
        <f>VLOOKUP("*SY066*",'[1]10. Open Risks'!$A$3:$YA$4997,25,FALSE)</f>
        <v>44913</v>
      </c>
      <c r="Z12" s="4">
        <f>VLOOKUP("*SY066*",'[1]10. Open Risks'!$A$3:$YA$4997,26,FALSE)</f>
        <v>44896</v>
      </c>
      <c r="AA12" s="4">
        <f>VLOOKUP("*SY066*",'[1]10. Open Risks'!$A$3:$YA$4997,27,FALSE)</f>
        <v>859</v>
      </c>
      <c r="AB12" s="5" t="str">
        <f>VLOOKUP("*SY066*",'[1]10. Open Risks'!$A$3:$YA$4997,28,FALSE)</f>
        <v>Work still ongoing</v>
      </c>
    </row>
    <row r="13" spans="1:28" ht="246.5" x14ac:dyDescent="0.35">
      <c r="A13" s="3" t="str">
        <f>VLOOKUP("*SY061*",'[1]10. Open Risks'!$A$3:$YA$4997,1,FALSE)</f>
        <v xml:space="preserve">SY061 </v>
      </c>
      <c r="B13" s="4" t="str">
        <f>VLOOKUP("*SY061*",'[1]10. Open Risks'!$A$3:$YA$4997,2,FALSE)</f>
        <v>ICB</v>
      </c>
      <c r="C13" s="4" t="str">
        <f>VLOOKUP("*SY061*",'[1]10. Open Risks'!$A$3:$YA$4997,3,FALSE)</f>
        <v>Primary Care</v>
      </c>
      <c r="D13" s="4" t="str">
        <f>VLOOKUP("*SY061*",'[1]10. Open Risks'!$A$3:$YA$4997,4,FALSE)</f>
        <v>2,5,6</v>
      </c>
      <c r="E13" s="4" t="str">
        <f>VLOOKUP("*SY061*",'[1]10. Open Risks'!$A$3:$YA$4997,5,FALSE)</f>
        <v>BAF 1.8, BAF 2.2, BAF 3.10</v>
      </c>
      <c r="F13" s="4" t="str">
        <f>VLOOKUP("*SY061*",'[1]10. Open Risks'!$A$3:$YA$4997,6,FALSE)</f>
        <v>Access to Primary Care Data - There is a risk that primary care related commissioning decisions are not evidence-based due to lack of knowledge/access to primary care data resulting in an inability to progress population health management and a risk of poorer outcomes for patients.</v>
      </c>
      <c r="G13" s="4">
        <f>VLOOKUP("*SY061*",'[1]10. Open Risks'!$A$3:$YA$4997,7,FALSE)</f>
        <v>3</v>
      </c>
      <c r="H13" s="4">
        <f>VLOOKUP("*SY061*",'[1]10. Open Risks'!$A$3:$YA$4997,8,FALSE)</f>
        <v>3</v>
      </c>
      <c r="I13" s="75">
        <f>VLOOKUP("*SY061*",'[1]10. Open Risks'!$A$3:$YA$4997,9,FALSE)</f>
        <v>9</v>
      </c>
      <c r="J13" s="140" t="str">
        <f>VLOOKUP("*SY061*",'[1]10. Open Risks'!$A$3:$YA$4997,10,FALSE)</f>
        <v>Accountable</v>
      </c>
      <c r="K13" s="4" t="str">
        <f>VLOOKUP("*SY061*",'[1]10. Open Risks'!$A$3:$YA$4997,11,FALSE)</f>
        <v>1)Population Health Management (PHM) and Risk stratification using Eclipse solution (Now in 93% of GPs across the ICB)
2)Communication and engagement with all Practices across the ICB is underway to get all practices to sign up to the ICB data sharing agreement. This will allow us to directly access primary care data.</v>
      </c>
      <c r="L13" s="4" t="str">
        <f>VLOOKUP("*SY061*",'[1]10. Open Risks'!$A$3:$YA$4997,12,FALSE)</f>
        <v>Kieran Baker  
Chief Digital and Information Officer</v>
      </c>
      <c r="M13" s="4" t="str">
        <f>VLOOKUP("*SY061*",'[1]10. Open Risks'!$A$3:$YA$4997,13,FALSE)</f>
        <v>Previous CCG Risk Management Processes</v>
      </c>
      <c r="N13" s="4">
        <f>VLOOKUP("*SY061*",'[1]10. Open Risks'!$A$3:$YA$4997,14,FALSE)</f>
        <v>2</v>
      </c>
      <c r="O13" s="4">
        <f>VLOOKUP("*SY061*",'[1]10. Open Risks'!$A$3:$YA$4997,15,FALSE)</f>
        <v>2</v>
      </c>
      <c r="P13" s="160">
        <f>VLOOKUP("*SY061*",'[1]10. Open Risks'!$A$3:$YA$4997,16,FALSE)</f>
        <v>4</v>
      </c>
      <c r="Q13" s="4" t="str">
        <f>VLOOKUP("*SY061*",'[1]10. Open Risks'!$A$3:$YA$4997,17,FALSE)</f>
        <v>05/12/2022
02/03/2023                                 19/04/2023                     16/05/2023                    06/07/2023                   04/09/2023              16/10/2023
15/01/2024
15/04/2024
24/07/2024
28/10/2024
27/01/2025
05/02/2025
13/03/2025
01/08/2025
15/09/2025
06/10/2025</v>
      </c>
      <c r="R13" s="135">
        <f>VLOOKUP("*SY061*",'[1]10. Open Risks'!$A$3:$YA$4997,18,FALSE)</f>
        <v>46118</v>
      </c>
      <c r="S13" s="139" t="str">
        <f>VLOOKUP("*SY061*",'[1]10. Open Risks'!$A$3:$YA$4997,19,FALSE)</f>
        <v>not overdue</v>
      </c>
      <c r="T13" s="4" t="str">
        <f>VLOOKUP("*SY061*",'[1]10. Open Risks'!$A$3:$YA$4997,20,FALSE)</f>
        <v xml:space="preserve">Helen Stone / Barbara Coyle
</v>
      </c>
      <c r="U13" s="4" t="str">
        <f>VLOOKUP("*SY061*",'[1]10. Open Risks'!$A$3:$YA$4997,21,FALSE)</f>
        <v>September 2025 - Executive approval has also been granted to purchase a GP data feed from North East Commissioning Services Unit (NECS).  Data Sharing Agreement (DSA) has been developed for practices to sign and commercials are being worked through with NECS. DPIAs have been drafted and communications to LMCs and practices has begun to get sign up to the use cases. 
40 practices are signed up to share their data directly with the ICB and a new governance structure has been implemented to support decision-making regarding data sharing and linkage. 93% of all practices signed up to Eclipse.</v>
      </c>
      <c r="V13" s="4" t="str">
        <f>VLOOKUP("*SY061*",'[1]10. Open Risks'!$A$3:$YA$4997,22,FALSE)</f>
        <v>Six Monthly</v>
      </c>
      <c r="W13" s="4" t="str">
        <f>VLOOKUP("*SY061*",'[1]10. Open Risks'!$A$3:$YA$4997,23,FALSE)</f>
        <v>ICB Place Committee</v>
      </c>
      <c r="X13" s="4" t="str">
        <f>VLOOKUP("*SY061*",'[1]10. Open Risks'!$A$3:$YA$4997,24,FALSE)</f>
        <v>Audit and Risk Committee</v>
      </c>
      <c r="Y13" s="4">
        <f>VLOOKUP("*SY061*",'[1]10. Open Risks'!$A$3:$YA$4997,25,FALSE)</f>
        <v>44900</v>
      </c>
      <c r="Z13" s="4">
        <f>VLOOKUP("*SY061*",'[1]10. Open Risks'!$A$3:$YA$4997,26,FALSE)</f>
        <v>44896</v>
      </c>
      <c r="AA13" s="4">
        <f>VLOOKUP("*SY061*",'[1]10. Open Risks'!$A$3:$YA$4997,27,FALSE)</f>
        <v>869</v>
      </c>
      <c r="AB13" s="5" t="str">
        <f>VLOOKUP("*SY061*",'[1]10. Open Risks'!$A$3:$YA$4997,28,FALSE)</f>
        <v>Barnsley suggested rewording to: There is a risk that data can not be captured across all sectors of health and care to support improved services delivery and transformation.  This risk appears to be focussed upon GP's but actually there is probably an equal risk relating to all Primary Care Groups                                                                                                                                                                                                                                                                           Rotherham Primary Care data is improving.  Suggest close risk.      
6/11/23 - Currently with V Lindon for review
13/12/23 - V Lindon unable to provide further update, feels would be better to be reviewed by Kieran and those noted as responsible for review</v>
      </c>
    </row>
    <row r="14" spans="1:28" x14ac:dyDescent="0.35">
      <c r="A14" s="3"/>
      <c r="B14" s="4"/>
      <c r="C14" s="4"/>
      <c r="D14" s="4"/>
      <c r="E14" s="4"/>
      <c r="F14" s="4"/>
      <c r="G14" s="4"/>
      <c r="H14" s="4"/>
      <c r="I14" s="4"/>
      <c r="J14" s="140"/>
      <c r="K14" s="4"/>
      <c r="L14" s="4"/>
      <c r="M14" s="4"/>
      <c r="N14" s="4"/>
      <c r="O14" s="4"/>
      <c r="P14" s="4"/>
      <c r="Q14" s="4"/>
      <c r="R14" s="135"/>
      <c r="S14" s="4"/>
      <c r="T14" s="4"/>
      <c r="U14" s="4"/>
      <c r="V14" s="4"/>
      <c r="W14" s="4"/>
      <c r="X14" s="4"/>
      <c r="Y14" s="4"/>
      <c r="Z14" s="4"/>
      <c r="AA14" s="4"/>
      <c r="AB14" s="5"/>
    </row>
    <row r="15" spans="1:28" x14ac:dyDescent="0.35">
      <c r="A15" s="3"/>
      <c r="B15" s="4"/>
      <c r="C15" s="4"/>
      <c r="D15" s="4"/>
      <c r="E15" s="4"/>
      <c r="F15" s="4"/>
      <c r="G15" s="4"/>
      <c r="H15" s="4"/>
      <c r="I15" s="4"/>
      <c r="J15" s="140"/>
      <c r="K15" s="4"/>
      <c r="L15" s="4"/>
      <c r="M15" s="4"/>
      <c r="N15" s="4"/>
      <c r="O15" s="4"/>
      <c r="P15" s="4"/>
      <c r="Q15" s="4"/>
      <c r="R15" s="135"/>
      <c r="S15" s="4"/>
      <c r="T15" s="4"/>
      <c r="U15" s="4"/>
      <c r="V15" s="4"/>
      <c r="W15" s="4"/>
      <c r="X15" s="4"/>
      <c r="Y15" s="4"/>
      <c r="Z15" s="4"/>
      <c r="AA15" s="4"/>
      <c r="AB15" s="5"/>
    </row>
    <row r="16" spans="1:28" x14ac:dyDescent="0.35">
      <c r="A16" s="3"/>
      <c r="B16" s="4"/>
      <c r="C16" s="4"/>
      <c r="D16" s="4"/>
      <c r="E16" s="4"/>
      <c r="F16" s="4"/>
      <c r="G16" s="4"/>
      <c r="H16" s="4"/>
      <c r="I16" s="4"/>
      <c r="J16" s="140"/>
      <c r="K16" s="4"/>
      <c r="L16" s="4"/>
      <c r="M16" s="4"/>
      <c r="N16" s="4"/>
      <c r="O16" s="4"/>
      <c r="P16" s="4"/>
      <c r="Q16" s="4"/>
      <c r="R16" s="135"/>
      <c r="S16" s="4"/>
      <c r="T16" s="4"/>
      <c r="U16" s="4"/>
      <c r="V16" s="4"/>
      <c r="W16" s="4"/>
      <c r="X16" s="4"/>
      <c r="Y16" s="4"/>
      <c r="Z16" s="4"/>
      <c r="AA16" s="4"/>
      <c r="AB16" s="5"/>
    </row>
    <row r="17" spans="1:28" x14ac:dyDescent="0.35">
      <c r="A17" s="3"/>
      <c r="B17" s="4"/>
      <c r="C17" s="4"/>
      <c r="D17" s="4"/>
      <c r="E17" s="4"/>
      <c r="F17" s="4"/>
      <c r="G17" s="4"/>
      <c r="H17" s="4"/>
      <c r="I17" s="4"/>
      <c r="J17" s="140"/>
      <c r="K17" s="4"/>
      <c r="L17" s="4"/>
      <c r="M17" s="4"/>
      <c r="N17" s="4"/>
      <c r="O17" s="4"/>
      <c r="P17" s="4"/>
      <c r="Q17" s="4"/>
      <c r="R17" s="135"/>
      <c r="S17" s="4"/>
      <c r="T17" s="4"/>
      <c r="U17" s="4"/>
      <c r="V17" s="4"/>
      <c r="W17" s="4"/>
      <c r="X17" s="4"/>
      <c r="Y17" s="4"/>
      <c r="Z17" s="4"/>
      <c r="AA17" s="4"/>
      <c r="AB17" s="5"/>
    </row>
    <row r="18" spans="1:28" x14ac:dyDescent="0.35">
      <c r="A18" s="3"/>
      <c r="B18" s="4"/>
      <c r="C18" s="4"/>
      <c r="D18" s="4"/>
      <c r="E18" s="4"/>
      <c r="F18" s="4"/>
      <c r="G18" s="4"/>
      <c r="H18" s="4"/>
      <c r="I18" s="4"/>
      <c r="J18" s="140"/>
      <c r="K18" s="4"/>
      <c r="L18" s="4"/>
      <c r="M18" s="4"/>
      <c r="N18" s="4"/>
      <c r="O18" s="4"/>
      <c r="P18" s="4"/>
      <c r="Q18" s="4"/>
      <c r="R18" s="135"/>
      <c r="S18" s="4"/>
      <c r="T18" s="4"/>
      <c r="U18" s="4"/>
      <c r="V18" s="4"/>
      <c r="W18" s="4"/>
      <c r="X18" s="4"/>
      <c r="Y18" s="4"/>
      <c r="Z18" s="4"/>
      <c r="AA18" s="4"/>
      <c r="AB18" s="5"/>
    </row>
    <row r="19" spans="1:28" x14ac:dyDescent="0.35">
      <c r="A19" s="3"/>
      <c r="B19" s="4"/>
      <c r="C19" s="4"/>
      <c r="D19" s="4"/>
      <c r="E19" s="4"/>
      <c r="F19" s="4"/>
      <c r="G19" s="4"/>
      <c r="H19" s="4"/>
      <c r="I19" s="4"/>
      <c r="J19" s="140"/>
      <c r="K19" s="4"/>
      <c r="L19" s="4"/>
      <c r="M19" s="4"/>
      <c r="N19" s="4"/>
      <c r="O19" s="4"/>
      <c r="P19" s="4"/>
      <c r="Q19" s="4"/>
      <c r="R19" s="135"/>
      <c r="S19" s="4"/>
      <c r="T19" s="4"/>
      <c r="U19" s="4"/>
      <c r="V19" s="4"/>
      <c r="W19" s="4"/>
      <c r="X19" s="4"/>
      <c r="Y19" s="4"/>
      <c r="Z19" s="4"/>
      <c r="AA19" s="4"/>
      <c r="AB19" s="5"/>
    </row>
    <row r="20" spans="1:28" x14ac:dyDescent="0.35">
      <c r="A20" s="3"/>
      <c r="B20" s="4"/>
      <c r="C20" s="4"/>
      <c r="D20" s="4"/>
      <c r="E20" s="4"/>
      <c r="F20" s="4"/>
      <c r="G20" s="4"/>
      <c r="H20" s="4"/>
      <c r="I20" s="4"/>
      <c r="J20" s="140"/>
      <c r="K20" s="4"/>
      <c r="L20" s="4"/>
      <c r="M20" s="4"/>
      <c r="N20" s="4"/>
      <c r="O20" s="4"/>
      <c r="P20" s="4"/>
      <c r="Q20" s="4"/>
      <c r="R20" s="135"/>
      <c r="S20" s="4"/>
      <c r="T20" s="4"/>
      <c r="U20" s="4"/>
      <c r="V20" s="4"/>
      <c r="W20" s="4"/>
      <c r="X20" s="4"/>
      <c r="Y20" s="4"/>
      <c r="Z20" s="4"/>
      <c r="AA20" s="4"/>
      <c r="AB20" s="5"/>
    </row>
    <row r="21" spans="1:28" x14ac:dyDescent="0.35">
      <c r="A21" s="3"/>
      <c r="B21" s="4"/>
      <c r="C21" s="4"/>
      <c r="D21" s="4"/>
      <c r="E21" s="4"/>
      <c r="F21" s="4"/>
      <c r="G21" s="4"/>
      <c r="H21" s="4"/>
      <c r="I21" s="4"/>
      <c r="J21" s="140"/>
      <c r="K21" s="4"/>
      <c r="L21" s="4"/>
      <c r="M21" s="4"/>
      <c r="N21" s="4"/>
      <c r="O21" s="4"/>
      <c r="P21" s="4"/>
      <c r="Q21" s="4"/>
      <c r="R21" s="135"/>
      <c r="S21" s="4"/>
      <c r="T21" s="4"/>
      <c r="U21" s="4"/>
      <c r="V21" s="4"/>
      <c r="W21" s="4"/>
      <c r="X21" s="4"/>
      <c r="Y21" s="4"/>
      <c r="Z21" s="4"/>
      <c r="AA21" s="4"/>
      <c r="AB21" s="5"/>
    </row>
    <row r="22" spans="1:28" x14ac:dyDescent="0.35">
      <c r="A22" s="3"/>
      <c r="B22" s="4"/>
      <c r="C22" s="4"/>
      <c r="D22" s="4"/>
      <c r="E22" s="4"/>
      <c r="F22" s="4"/>
      <c r="G22" s="4"/>
      <c r="H22" s="4"/>
      <c r="I22" s="4"/>
      <c r="J22" s="140"/>
      <c r="K22" s="4"/>
      <c r="L22" s="4"/>
      <c r="M22" s="4"/>
      <c r="N22" s="4"/>
      <c r="O22" s="4"/>
      <c r="P22" s="4"/>
      <c r="Q22" s="4"/>
      <c r="R22" s="135"/>
      <c r="S22" s="4"/>
      <c r="T22" s="4"/>
      <c r="U22" s="4"/>
      <c r="V22" s="4"/>
      <c r="W22" s="4"/>
      <c r="X22" s="4"/>
      <c r="Y22" s="4"/>
      <c r="Z22" s="4"/>
      <c r="AA22" s="4"/>
      <c r="AB22" s="5"/>
    </row>
    <row r="23" spans="1:28" x14ac:dyDescent="0.35">
      <c r="A23" s="3"/>
      <c r="B23" s="4"/>
      <c r="C23" s="4"/>
      <c r="D23" s="4"/>
      <c r="E23" s="4"/>
      <c r="F23" s="4"/>
      <c r="G23" s="4"/>
      <c r="H23" s="4"/>
      <c r="I23" s="4"/>
      <c r="J23" s="140"/>
      <c r="K23" s="4"/>
      <c r="L23" s="4"/>
      <c r="M23" s="4"/>
      <c r="N23" s="4"/>
      <c r="O23" s="4"/>
      <c r="P23" s="4"/>
      <c r="Q23" s="4"/>
      <c r="R23" s="135"/>
      <c r="S23" s="4"/>
      <c r="T23" s="4"/>
      <c r="U23" s="4"/>
      <c r="V23" s="4"/>
      <c r="W23" s="4"/>
      <c r="X23" s="4"/>
      <c r="Y23" s="4"/>
      <c r="Z23" s="4"/>
      <c r="AA23" s="4"/>
      <c r="AB23" s="5"/>
    </row>
    <row r="24" spans="1:28" x14ac:dyDescent="0.35">
      <c r="A24" s="3"/>
      <c r="B24" s="4"/>
      <c r="C24" s="4"/>
      <c r="D24" s="4"/>
      <c r="E24" s="4"/>
      <c r="F24" s="4"/>
      <c r="G24" s="4"/>
      <c r="H24" s="4"/>
      <c r="I24" s="4"/>
      <c r="J24" s="140"/>
      <c r="K24" s="4"/>
      <c r="L24" s="4"/>
      <c r="M24" s="4"/>
      <c r="N24" s="4"/>
      <c r="O24" s="4"/>
      <c r="P24" s="4"/>
      <c r="Q24" s="4"/>
      <c r="R24" s="135"/>
      <c r="S24" s="4"/>
      <c r="T24" s="4"/>
      <c r="U24" s="4"/>
      <c r="V24" s="4"/>
      <c r="W24" s="4"/>
      <c r="X24" s="4"/>
      <c r="Y24" s="4"/>
      <c r="Z24" s="4"/>
      <c r="AA24" s="4"/>
      <c r="AB24" s="5"/>
    </row>
    <row r="25" spans="1:28" x14ac:dyDescent="0.35">
      <c r="A25" s="3"/>
      <c r="B25" s="4"/>
      <c r="C25" s="4"/>
      <c r="D25" s="4"/>
      <c r="E25" s="4"/>
      <c r="F25" s="4"/>
      <c r="G25" s="4"/>
      <c r="H25" s="4"/>
      <c r="I25" s="4"/>
      <c r="J25" s="140"/>
      <c r="K25" s="4"/>
      <c r="L25" s="4"/>
      <c r="M25" s="4"/>
      <c r="N25" s="4"/>
      <c r="O25" s="4"/>
      <c r="P25" s="4"/>
      <c r="Q25" s="4"/>
      <c r="R25" s="135"/>
      <c r="S25" s="4"/>
      <c r="T25" s="4"/>
      <c r="U25" s="4"/>
      <c r="V25" s="4"/>
      <c r="W25" s="4"/>
      <c r="X25" s="4"/>
      <c r="Y25" s="4"/>
      <c r="Z25" s="4"/>
      <c r="AA25" s="4"/>
      <c r="AB25" s="5"/>
    </row>
    <row r="26" spans="1:28" x14ac:dyDescent="0.35">
      <c r="A26" s="3"/>
      <c r="B26" s="4"/>
      <c r="C26" s="4"/>
      <c r="D26" s="4"/>
      <c r="E26" s="4"/>
      <c r="F26" s="4"/>
      <c r="G26" s="4"/>
      <c r="H26" s="4"/>
      <c r="I26" s="4"/>
      <c r="J26" s="140"/>
      <c r="K26" s="4"/>
      <c r="L26" s="4"/>
      <c r="M26" s="4"/>
      <c r="N26" s="4"/>
      <c r="O26" s="4"/>
      <c r="P26" s="4"/>
      <c r="Q26" s="4"/>
      <c r="R26" s="135"/>
      <c r="S26" s="4"/>
      <c r="T26" s="4"/>
      <c r="U26" s="4"/>
      <c r="V26" s="4"/>
      <c r="W26" s="4"/>
      <c r="X26" s="4"/>
      <c r="Y26" s="4"/>
      <c r="Z26" s="4"/>
      <c r="AA26" s="4"/>
      <c r="AB26" s="5"/>
    </row>
    <row r="27" spans="1:28" x14ac:dyDescent="0.35">
      <c r="A27" s="3"/>
      <c r="B27" s="4"/>
      <c r="C27" s="4"/>
      <c r="D27" s="4"/>
      <c r="E27" s="4"/>
      <c r="F27" s="4"/>
      <c r="G27" s="4"/>
      <c r="H27" s="4"/>
      <c r="I27" s="4"/>
      <c r="J27" s="140"/>
      <c r="K27" s="4"/>
      <c r="L27" s="4"/>
      <c r="M27" s="4"/>
      <c r="N27" s="4"/>
      <c r="O27" s="4"/>
      <c r="P27" s="4"/>
      <c r="Q27" s="4"/>
      <c r="R27" s="135"/>
      <c r="S27" s="4"/>
      <c r="T27" s="4"/>
      <c r="U27" s="4"/>
      <c r="V27" s="4"/>
      <c r="W27" s="4"/>
      <c r="X27" s="4"/>
      <c r="Y27" s="4"/>
      <c r="Z27" s="4"/>
      <c r="AA27" s="4"/>
      <c r="AB27" s="5"/>
    </row>
    <row r="28" spans="1:28" x14ac:dyDescent="0.35">
      <c r="A28" s="3"/>
      <c r="B28" s="4"/>
      <c r="C28" s="4"/>
      <c r="D28" s="4"/>
      <c r="E28" s="4"/>
      <c r="F28" s="4"/>
      <c r="G28" s="4"/>
      <c r="H28" s="4"/>
      <c r="I28" s="4"/>
      <c r="J28" s="140"/>
      <c r="K28" s="4"/>
      <c r="L28" s="4"/>
      <c r="M28" s="4"/>
      <c r="N28" s="4"/>
      <c r="O28" s="4"/>
      <c r="P28" s="4"/>
      <c r="Q28" s="4"/>
      <c r="R28" s="135"/>
      <c r="S28" s="4"/>
      <c r="T28" s="4"/>
      <c r="U28" s="4"/>
      <c r="V28" s="4"/>
      <c r="W28" s="4"/>
      <c r="X28" s="4"/>
      <c r="Y28" s="4"/>
      <c r="Z28" s="4"/>
      <c r="AA28" s="4"/>
      <c r="AB28" s="5"/>
    </row>
    <row r="29" spans="1:28" x14ac:dyDescent="0.35">
      <c r="A29" s="3"/>
      <c r="B29" s="4"/>
      <c r="C29" s="4"/>
      <c r="D29" s="4"/>
      <c r="E29" s="4"/>
      <c r="F29" s="4"/>
      <c r="G29" s="4"/>
      <c r="H29" s="4"/>
      <c r="I29" s="4"/>
      <c r="J29" s="140"/>
      <c r="K29" s="4"/>
      <c r="L29" s="4"/>
      <c r="M29" s="4"/>
      <c r="N29" s="4"/>
      <c r="O29" s="4"/>
      <c r="P29" s="4"/>
      <c r="Q29" s="4"/>
      <c r="R29" s="135"/>
      <c r="S29" s="4"/>
      <c r="T29" s="4"/>
      <c r="U29" s="4"/>
      <c r="V29" s="4"/>
      <c r="W29" s="4"/>
      <c r="X29" s="4"/>
      <c r="Y29" s="4"/>
      <c r="Z29" s="4"/>
      <c r="AA29" s="4"/>
      <c r="AB29" s="5"/>
    </row>
    <row r="30" spans="1:28" x14ac:dyDescent="0.35">
      <c r="A30" s="3"/>
      <c r="B30" s="4"/>
      <c r="C30" s="4"/>
      <c r="D30" s="4"/>
      <c r="E30" s="4"/>
      <c r="F30" s="4"/>
      <c r="G30" s="4"/>
      <c r="H30" s="4"/>
      <c r="I30" s="4"/>
      <c r="J30" s="140"/>
      <c r="K30" s="4"/>
      <c r="L30" s="4"/>
      <c r="M30" s="4"/>
      <c r="N30" s="4"/>
      <c r="O30" s="4"/>
      <c r="P30" s="4"/>
      <c r="Q30" s="4"/>
      <c r="R30" s="135"/>
      <c r="S30" s="4"/>
      <c r="T30" s="4"/>
      <c r="U30" s="4"/>
      <c r="V30" s="4"/>
      <c r="W30" s="4"/>
      <c r="X30" s="4"/>
      <c r="Y30" s="4"/>
      <c r="Z30" s="4"/>
      <c r="AA30" s="4"/>
      <c r="AB30" s="5"/>
    </row>
    <row r="31" spans="1:28" x14ac:dyDescent="0.35">
      <c r="A31" s="3"/>
      <c r="B31" s="4"/>
      <c r="C31" s="4"/>
      <c r="D31" s="4"/>
      <c r="E31" s="4"/>
      <c r="F31" s="4"/>
      <c r="G31" s="4"/>
      <c r="H31" s="4"/>
      <c r="I31" s="4"/>
      <c r="J31" s="140"/>
      <c r="K31" s="4"/>
      <c r="L31" s="4"/>
      <c r="M31" s="4"/>
      <c r="N31" s="4"/>
      <c r="O31" s="4"/>
      <c r="P31" s="4"/>
      <c r="Q31" s="4"/>
      <c r="R31" s="135"/>
      <c r="S31" s="4"/>
      <c r="T31" s="4"/>
      <c r="U31" s="4"/>
      <c r="V31" s="4"/>
      <c r="W31" s="4"/>
      <c r="X31" s="4"/>
      <c r="Y31" s="4"/>
      <c r="Z31" s="4"/>
      <c r="AA31" s="4"/>
      <c r="AB31" s="5"/>
    </row>
    <row r="32" spans="1:28" x14ac:dyDescent="0.35">
      <c r="A32" s="3"/>
      <c r="B32" s="4"/>
      <c r="C32" s="4"/>
      <c r="D32" s="4"/>
      <c r="E32" s="4"/>
      <c r="F32" s="4"/>
      <c r="G32" s="4"/>
      <c r="H32" s="4"/>
      <c r="I32" s="4"/>
      <c r="J32" s="140"/>
      <c r="K32" s="4"/>
      <c r="L32" s="4"/>
      <c r="M32" s="4"/>
      <c r="N32" s="4"/>
      <c r="O32" s="4"/>
      <c r="P32" s="4"/>
      <c r="Q32" s="4"/>
      <c r="R32" s="135"/>
      <c r="S32" s="4"/>
      <c r="T32" s="4"/>
      <c r="U32" s="4"/>
      <c r="V32" s="4"/>
      <c r="W32" s="4"/>
      <c r="X32" s="4"/>
      <c r="Y32" s="4"/>
      <c r="Z32" s="4"/>
      <c r="AA32" s="4"/>
      <c r="AB32" s="5"/>
    </row>
    <row r="33" spans="1:28" x14ac:dyDescent="0.35">
      <c r="A33" s="3"/>
      <c r="B33" s="4"/>
      <c r="C33" s="4"/>
      <c r="D33" s="4"/>
      <c r="E33" s="4"/>
      <c r="F33" s="4"/>
      <c r="G33" s="4"/>
      <c r="H33" s="4"/>
      <c r="I33" s="4"/>
      <c r="J33" s="140"/>
      <c r="K33" s="4"/>
      <c r="L33" s="4"/>
      <c r="M33" s="4"/>
      <c r="N33" s="4"/>
      <c r="O33" s="4"/>
      <c r="P33" s="4"/>
      <c r="Q33" s="4"/>
      <c r="R33" s="135"/>
      <c r="S33" s="4"/>
      <c r="T33" s="4"/>
      <c r="U33" s="4"/>
      <c r="V33" s="4"/>
      <c r="W33" s="4"/>
      <c r="X33" s="4"/>
      <c r="Y33" s="4"/>
      <c r="Z33" s="4"/>
      <c r="AA33" s="4"/>
      <c r="AB33" s="5"/>
    </row>
    <row r="34" spans="1:28" x14ac:dyDescent="0.35">
      <c r="A34" s="3"/>
      <c r="B34" s="4"/>
      <c r="C34" s="4"/>
      <c r="D34" s="4"/>
      <c r="E34" s="4"/>
      <c r="F34" s="4"/>
      <c r="G34" s="4"/>
      <c r="H34" s="4"/>
      <c r="I34" s="4"/>
      <c r="J34" s="140"/>
      <c r="K34" s="4"/>
      <c r="L34" s="4"/>
      <c r="M34" s="4"/>
      <c r="N34" s="4"/>
      <c r="O34" s="4"/>
      <c r="P34" s="4"/>
      <c r="Q34" s="4"/>
      <c r="R34" s="135"/>
      <c r="S34" s="4"/>
      <c r="T34" s="4"/>
      <c r="U34" s="4"/>
      <c r="V34" s="4"/>
      <c r="W34" s="4"/>
      <c r="X34" s="4"/>
      <c r="Y34" s="4"/>
      <c r="Z34" s="4"/>
      <c r="AA34" s="4"/>
      <c r="AB34" s="5"/>
    </row>
    <row r="35" spans="1:28" x14ac:dyDescent="0.35">
      <c r="A35" s="3"/>
      <c r="B35" s="4"/>
      <c r="C35" s="4"/>
      <c r="D35" s="4"/>
      <c r="E35" s="4"/>
      <c r="F35" s="4"/>
      <c r="G35" s="4"/>
      <c r="H35" s="4"/>
      <c r="I35" s="4"/>
      <c r="J35" s="140"/>
      <c r="K35" s="4"/>
      <c r="L35" s="4"/>
      <c r="M35" s="4"/>
      <c r="N35" s="4"/>
      <c r="O35" s="4"/>
      <c r="P35" s="4"/>
      <c r="Q35" s="4"/>
      <c r="R35" s="135"/>
      <c r="S35" s="4"/>
      <c r="T35" s="4"/>
      <c r="U35" s="4"/>
      <c r="V35" s="4"/>
      <c r="W35" s="4"/>
      <c r="X35" s="4"/>
      <c r="Y35" s="4"/>
      <c r="Z35" s="4"/>
      <c r="AA35" s="4"/>
      <c r="AB35" s="5"/>
    </row>
    <row r="36" spans="1:28" x14ac:dyDescent="0.35">
      <c r="A36" s="3"/>
      <c r="B36" s="4"/>
      <c r="C36" s="4"/>
      <c r="D36" s="4"/>
      <c r="E36" s="4"/>
      <c r="F36" s="4"/>
      <c r="G36" s="4"/>
      <c r="H36" s="4"/>
      <c r="I36" s="4"/>
      <c r="J36" s="140"/>
      <c r="K36" s="4"/>
      <c r="L36" s="4"/>
      <c r="M36" s="4"/>
      <c r="N36" s="4"/>
      <c r="O36" s="4"/>
      <c r="P36" s="4"/>
      <c r="Q36" s="4"/>
      <c r="R36" s="135"/>
      <c r="S36" s="4"/>
      <c r="T36" s="4"/>
      <c r="U36" s="4"/>
      <c r="V36" s="4"/>
      <c r="W36" s="4"/>
      <c r="X36" s="4"/>
      <c r="Y36" s="4"/>
      <c r="Z36" s="4"/>
      <c r="AA36" s="4"/>
      <c r="AB36" s="5"/>
    </row>
    <row r="37" spans="1:28" x14ac:dyDescent="0.35">
      <c r="A37" s="3"/>
      <c r="B37" s="4"/>
      <c r="C37" s="4"/>
      <c r="D37" s="4"/>
      <c r="E37" s="4"/>
      <c r="F37" s="4"/>
      <c r="G37" s="4"/>
      <c r="H37" s="4"/>
      <c r="I37" s="4"/>
      <c r="J37" s="140"/>
      <c r="K37" s="4"/>
      <c r="L37" s="4"/>
      <c r="M37" s="4"/>
      <c r="N37" s="4"/>
      <c r="O37" s="4"/>
      <c r="P37" s="4"/>
      <c r="Q37" s="4"/>
      <c r="R37" s="135"/>
      <c r="S37" s="4"/>
      <c r="T37" s="4"/>
      <c r="U37" s="4"/>
      <c r="V37" s="4"/>
      <c r="W37" s="4"/>
      <c r="X37" s="4"/>
      <c r="Y37" s="4"/>
      <c r="Z37" s="4"/>
      <c r="AA37" s="4"/>
      <c r="AB37" s="5"/>
    </row>
    <row r="38" spans="1:28" x14ac:dyDescent="0.35">
      <c r="A38" s="3"/>
      <c r="B38" s="4"/>
      <c r="C38" s="4"/>
      <c r="D38" s="4"/>
      <c r="E38" s="4"/>
      <c r="F38" s="4"/>
      <c r="G38" s="4"/>
      <c r="H38" s="4"/>
      <c r="I38" s="4"/>
      <c r="J38" s="140"/>
      <c r="K38" s="4"/>
      <c r="L38" s="4"/>
      <c r="M38" s="4"/>
      <c r="N38" s="4"/>
      <c r="O38" s="4"/>
      <c r="P38" s="4"/>
      <c r="Q38" s="4"/>
      <c r="R38" s="135"/>
      <c r="S38" s="4"/>
      <c r="T38" s="4"/>
      <c r="U38" s="4"/>
      <c r="V38" s="4"/>
      <c r="W38" s="4"/>
      <c r="X38" s="4"/>
      <c r="Y38" s="4"/>
      <c r="Z38" s="4"/>
      <c r="AA38" s="4"/>
      <c r="AB38" s="5"/>
    </row>
    <row r="39" spans="1:28" x14ac:dyDescent="0.35">
      <c r="A39" s="3"/>
      <c r="B39" s="4"/>
      <c r="C39" s="4"/>
      <c r="D39" s="4"/>
      <c r="E39" s="4"/>
      <c r="F39" s="4"/>
      <c r="G39" s="4"/>
      <c r="H39" s="4"/>
      <c r="I39" s="4"/>
      <c r="J39" s="140"/>
      <c r="K39" s="4"/>
      <c r="L39" s="4"/>
      <c r="M39" s="4"/>
      <c r="N39" s="4"/>
      <c r="O39" s="4"/>
      <c r="P39" s="4"/>
      <c r="Q39" s="4"/>
      <c r="R39" s="135"/>
      <c r="S39" s="4"/>
      <c r="T39" s="4"/>
      <c r="U39" s="4"/>
      <c r="V39" s="4"/>
      <c r="W39" s="4"/>
      <c r="X39" s="4"/>
      <c r="Y39" s="4"/>
      <c r="Z39" s="4"/>
      <c r="AA39" s="4"/>
      <c r="AB39" s="5"/>
    </row>
    <row r="40" spans="1:28" x14ac:dyDescent="0.35">
      <c r="A40" s="3"/>
      <c r="B40" s="4"/>
      <c r="C40" s="4"/>
      <c r="D40" s="4"/>
      <c r="E40" s="4"/>
      <c r="F40" s="4"/>
      <c r="G40" s="4"/>
      <c r="H40" s="4"/>
      <c r="I40" s="4"/>
      <c r="J40" s="140"/>
      <c r="K40" s="4"/>
      <c r="L40" s="4"/>
      <c r="M40" s="4"/>
      <c r="N40" s="4"/>
      <c r="O40" s="4"/>
      <c r="P40" s="4"/>
      <c r="Q40" s="4"/>
      <c r="R40" s="135"/>
      <c r="S40" s="4"/>
      <c r="T40" s="4"/>
      <c r="U40" s="4"/>
      <c r="V40" s="4"/>
      <c r="W40" s="4"/>
      <c r="X40" s="4"/>
      <c r="Y40" s="4"/>
      <c r="Z40" s="4"/>
      <c r="AA40" s="4"/>
      <c r="AB40" s="5"/>
    </row>
    <row r="41" spans="1:28" x14ac:dyDescent="0.35">
      <c r="A41" s="3"/>
      <c r="B41" s="4"/>
      <c r="C41" s="4"/>
      <c r="D41" s="4"/>
      <c r="E41" s="4"/>
      <c r="F41" s="4"/>
      <c r="G41" s="4"/>
      <c r="H41" s="4"/>
      <c r="I41" s="4"/>
      <c r="J41" s="140"/>
      <c r="K41" s="4"/>
      <c r="L41" s="4"/>
      <c r="M41" s="4"/>
      <c r="N41" s="4"/>
      <c r="O41" s="4"/>
      <c r="P41" s="4"/>
      <c r="Q41" s="4"/>
      <c r="R41" s="135"/>
      <c r="S41" s="4"/>
      <c r="T41" s="4"/>
      <c r="U41" s="4"/>
      <c r="V41" s="4"/>
      <c r="W41" s="4"/>
      <c r="X41" s="4"/>
      <c r="Y41" s="4"/>
      <c r="Z41" s="4"/>
      <c r="AA41" s="4"/>
      <c r="AB41" s="5"/>
    </row>
    <row r="42" spans="1:28" x14ac:dyDescent="0.35">
      <c r="A42" s="3"/>
      <c r="B42" s="4"/>
      <c r="C42" s="4"/>
      <c r="D42" s="4"/>
      <c r="E42" s="4"/>
      <c r="F42" s="4"/>
      <c r="G42" s="4"/>
      <c r="H42" s="4"/>
      <c r="I42" s="4"/>
      <c r="J42" s="140"/>
      <c r="K42" s="4"/>
      <c r="L42" s="4"/>
      <c r="M42" s="4"/>
      <c r="N42" s="4"/>
      <c r="O42" s="4"/>
      <c r="P42" s="4"/>
      <c r="Q42" s="4"/>
      <c r="R42" s="135"/>
      <c r="S42" s="4"/>
      <c r="T42" s="4"/>
      <c r="U42" s="4"/>
      <c r="V42" s="4"/>
      <c r="W42" s="4"/>
      <c r="X42" s="4"/>
      <c r="Y42" s="4"/>
      <c r="Z42" s="4"/>
      <c r="AA42" s="4"/>
      <c r="AB42" s="5"/>
    </row>
    <row r="43" spans="1:28" x14ac:dyDescent="0.35">
      <c r="A43" s="3"/>
      <c r="B43" s="4"/>
      <c r="C43" s="4"/>
      <c r="D43" s="4"/>
      <c r="E43" s="4"/>
      <c r="F43" s="4"/>
      <c r="G43" s="4"/>
      <c r="H43" s="4"/>
      <c r="I43" s="4"/>
      <c r="J43" s="140"/>
      <c r="K43" s="4"/>
      <c r="L43" s="4"/>
      <c r="M43" s="4"/>
      <c r="N43" s="4"/>
      <c r="O43" s="4"/>
      <c r="P43" s="4"/>
      <c r="Q43" s="4"/>
      <c r="R43" s="135"/>
      <c r="S43" s="4"/>
      <c r="T43" s="4"/>
      <c r="U43" s="4"/>
      <c r="V43" s="4"/>
      <c r="W43" s="4"/>
      <c r="X43" s="4"/>
      <c r="Y43" s="4"/>
      <c r="Z43" s="4"/>
      <c r="AA43" s="4"/>
      <c r="AB43" s="5"/>
    </row>
    <row r="44" spans="1:28" x14ac:dyDescent="0.35">
      <c r="A44" s="3"/>
      <c r="B44" s="4"/>
      <c r="C44" s="4"/>
      <c r="D44" s="4"/>
      <c r="E44" s="4"/>
      <c r="F44" s="4"/>
      <c r="G44" s="4"/>
      <c r="H44" s="4"/>
      <c r="I44" s="4"/>
      <c r="J44" s="140"/>
      <c r="K44" s="4"/>
      <c r="L44" s="4"/>
      <c r="M44" s="4"/>
      <c r="N44" s="4"/>
      <c r="O44" s="4"/>
      <c r="P44" s="4"/>
      <c r="Q44" s="4"/>
      <c r="R44" s="135"/>
      <c r="S44" s="4"/>
      <c r="T44" s="4"/>
      <c r="U44" s="4"/>
      <c r="V44" s="4"/>
      <c r="W44" s="4"/>
      <c r="X44" s="4"/>
      <c r="Y44" s="4"/>
      <c r="Z44" s="4"/>
      <c r="AA44" s="4"/>
      <c r="AB44" s="5"/>
    </row>
    <row r="45" spans="1:28" x14ac:dyDescent="0.35">
      <c r="A45" s="3"/>
      <c r="B45" s="4"/>
      <c r="C45" s="4"/>
      <c r="D45" s="4"/>
      <c r="E45" s="4"/>
      <c r="F45" s="4"/>
      <c r="G45" s="4"/>
      <c r="H45" s="4"/>
      <c r="I45" s="4"/>
      <c r="J45" s="140"/>
      <c r="K45" s="4"/>
      <c r="L45" s="4"/>
      <c r="M45" s="4"/>
      <c r="N45" s="4"/>
      <c r="O45" s="4"/>
      <c r="P45" s="4"/>
      <c r="Q45" s="4"/>
      <c r="R45" s="135"/>
      <c r="S45" s="4"/>
      <c r="T45" s="4"/>
      <c r="U45" s="4"/>
      <c r="V45" s="4"/>
      <c r="W45" s="4"/>
      <c r="X45" s="4"/>
      <c r="Y45" s="4"/>
      <c r="Z45" s="4"/>
      <c r="AA45" s="4"/>
      <c r="AB45" s="5"/>
    </row>
    <row r="46" spans="1:28" x14ac:dyDescent="0.35">
      <c r="A46" s="3"/>
      <c r="B46" s="4"/>
      <c r="C46" s="4"/>
      <c r="D46" s="4"/>
      <c r="E46" s="4"/>
      <c r="F46" s="4"/>
      <c r="G46" s="4"/>
      <c r="H46" s="4"/>
      <c r="I46" s="4"/>
      <c r="J46" s="140"/>
      <c r="K46" s="4"/>
      <c r="L46" s="4"/>
      <c r="M46" s="4"/>
      <c r="N46" s="4"/>
      <c r="O46" s="4"/>
      <c r="P46" s="4"/>
      <c r="Q46" s="4"/>
      <c r="R46" s="135"/>
      <c r="S46" s="4"/>
      <c r="T46" s="4"/>
      <c r="U46" s="4"/>
      <c r="V46" s="4"/>
      <c r="W46" s="4"/>
      <c r="X46" s="4"/>
      <c r="Y46" s="4"/>
      <c r="Z46" s="4"/>
      <c r="AA46" s="4"/>
      <c r="AB46" s="5"/>
    </row>
    <row r="47" spans="1:28" x14ac:dyDescent="0.35">
      <c r="A47" s="3"/>
      <c r="B47" s="4"/>
      <c r="C47" s="4"/>
      <c r="D47" s="4"/>
      <c r="E47" s="4"/>
      <c r="F47" s="4"/>
      <c r="G47" s="4"/>
      <c r="H47" s="4"/>
      <c r="I47" s="4"/>
      <c r="J47" s="140"/>
      <c r="K47" s="4"/>
      <c r="L47" s="4"/>
      <c r="M47" s="4"/>
      <c r="N47" s="4"/>
      <c r="O47" s="4"/>
      <c r="P47" s="4"/>
      <c r="Q47" s="4"/>
      <c r="R47" s="135"/>
      <c r="S47" s="4"/>
      <c r="T47" s="4"/>
      <c r="U47" s="4"/>
      <c r="V47" s="4"/>
      <c r="W47" s="4"/>
      <c r="X47" s="4"/>
      <c r="Y47" s="4"/>
      <c r="Z47" s="4"/>
      <c r="AA47" s="4"/>
      <c r="AB47" s="5"/>
    </row>
    <row r="48" spans="1:28" x14ac:dyDescent="0.35">
      <c r="A48" s="3"/>
      <c r="B48" s="4"/>
      <c r="C48" s="4"/>
      <c r="D48" s="4"/>
      <c r="E48" s="4"/>
      <c r="F48" s="4"/>
      <c r="G48" s="4"/>
      <c r="H48" s="4"/>
      <c r="I48" s="4"/>
      <c r="J48" s="140"/>
      <c r="K48" s="4"/>
      <c r="L48" s="4"/>
      <c r="M48" s="4"/>
      <c r="N48" s="4"/>
      <c r="O48" s="4"/>
      <c r="P48" s="4"/>
      <c r="Q48" s="4"/>
      <c r="R48" s="135"/>
      <c r="S48" s="4"/>
      <c r="T48" s="4"/>
      <c r="U48" s="4"/>
      <c r="V48" s="4"/>
      <c r="W48" s="4"/>
      <c r="X48" s="4"/>
      <c r="Y48" s="4"/>
      <c r="Z48" s="4"/>
      <c r="AA48" s="4"/>
      <c r="AB48" s="5"/>
    </row>
    <row r="49" spans="1:28" x14ac:dyDescent="0.35">
      <c r="A49" s="3"/>
      <c r="B49" s="4"/>
      <c r="C49" s="4"/>
      <c r="D49" s="4"/>
      <c r="E49" s="4"/>
      <c r="F49" s="4"/>
      <c r="G49" s="4"/>
      <c r="H49" s="4"/>
      <c r="I49" s="4"/>
      <c r="J49" s="140"/>
      <c r="K49" s="4"/>
      <c r="L49" s="4"/>
      <c r="M49" s="4"/>
      <c r="N49" s="4"/>
      <c r="O49" s="4"/>
      <c r="P49" s="4"/>
      <c r="Q49" s="4"/>
      <c r="R49" s="135"/>
      <c r="S49" s="4"/>
      <c r="T49" s="4"/>
      <c r="U49" s="4"/>
      <c r="V49" s="4"/>
      <c r="W49" s="4"/>
      <c r="X49" s="4"/>
      <c r="Y49" s="4"/>
      <c r="Z49" s="4"/>
      <c r="AA49" s="4"/>
      <c r="AB49" s="5"/>
    </row>
    <row r="50" spans="1:28" x14ac:dyDescent="0.35">
      <c r="A50" s="3"/>
      <c r="B50" s="4"/>
      <c r="C50" s="4"/>
      <c r="D50" s="4"/>
      <c r="E50" s="4"/>
      <c r="F50" s="4"/>
      <c r="G50" s="4"/>
      <c r="H50" s="4"/>
      <c r="I50" s="4"/>
      <c r="J50" s="140"/>
      <c r="K50" s="4"/>
      <c r="L50" s="4"/>
      <c r="M50" s="4"/>
      <c r="N50" s="4"/>
      <c r="O50" s="4"/>
      <c r="P50" s="4"/>
      <c r="Q50" s="4"/>
      <c r="R50" s="135"/>
      <c r="S50" s="4"/>
      <c r="T50" s="4"/>
      <c r="U50" s="4"/>
      <c r="V50" s="4"/>
      <c r="W50" s="4"/>
      <c r="X50" s="4"/>
      <c r="Y50" s="4"/>
      <c r="Z50" s="4"/>
      <c r="AA50" s="4"/>
      <c r="AB50" s="5"/>
    </row>
    <row r="51" spans="1:28" x14ac:dyDescent="0.35">
      <c r="A51" s="3"/>
      <c r="B51" s="4"/>
      <c r="C51" s="4"/>
      <c r="D51" s="4"/>
      <c r="E51" s="4"/>
      <c r="F51" s="4"/>
      <c r="G51" s="4"/>
      <c r="H51" s="4"/>
      <c r="I51" s="4"/>
      <c r="J51" s="140"/>
      <c r="K51" s="4"/>
      <c r="L51" s="4"/>
      <c r="M51" s="4"/>
      <c r="N51" s="4"/>
      <c r="O51" s="4"/>
      <c r="P51" s="4"/>
      <c r="Q51" s="4"/>
      <c r="R51" s="135"/>
      <c r="S51" s="4"/>
      <c r="T51" s="4"/>
      <c r="U51" s="4"/>
      <c r="V51" s="4"/>
      <c r="W51" s="4"/>
      <c r="X51" s="4"/>
      <c r="Y51" s="4"/>
      <c r="Z51" s="4"/>
      <c r="AA51" s="4"/>
      <c r="AB51" s="5"/>
    </row>
    <row r="52" spans="1:28" x14ac:dyDescent="0.35">
      <c r="A52" s="3"/>
      <c r="B52" s="4"/>
      <c r="C52" s="4"/>
      <c r="D52" s="4"/>
      <c r="E52" s="4"/>
      <c r="F52" s="4"/>
      <c r="G52" s="4"/>
      <c r="H52" s="4"/>
      <c r="I52" s="4"/>
      <c r="J52" s="140"/>
      <c r="K52" s="4"/>
      <c r="L52" s="4"/>
      <c r="M52" s="4"/>
      <c r="N52" s="4"/>
      <c r="O52" s="4"/>
      <c r="P52" s="4"/>
      <c r="Q52" s="4"/>
      <c r="R52" s="135"/>
      <c r="S52" s="4"/>
      <c r="T52" s="4"/>
      <c r="U52" s="4"/>
      <c r="V52" s="4"/>
      <c r="W52" s="4"/>
      <c r="X52" s="4"/>
      <c r="Y52" s="4"/>
      <c r="Z52" s="4"/>
      <c r="AA52" s="4"/>
      <c r="AB52" s="5"/>
    </row>
    <row r="53" spans="1:28" x14ac:dyDescent="0.35">
      <c r="A53" s="3"/>
      <c r="B53" s="4"/>
      <c r="C53" s="4"/>
      <c r="D53" s="4"/>
      <c r="E53" s="4"/>
      <c r="F53" s="4"/>
      <c r="G53" s="4"/>
      <c r="H53" s="4"/>
      <c r="I53" s="4"/>
      <c r="J53" s="140"/>
      <c r="K53" s="4"/>
      <c r="L53" s="4"/>
      <c r="M53" s="4"/>
      <c r="N53" s="4"/>
      <c r="O53" s="4"/>
      <c r="P53" s="4"/>
      <c r="Q53" s="4"/>
      <c r="R53" s="135"/>
      <c r="S53" s="4"/>
      <c r="T53" s="4"/>
      <c r="U53" s="4"/>
      <c r="V53" s="4"/>
      <c r="W53" s="4"/>
      <c r="X53" s="4"/>
      <c r="Y53" s="4"/>
      <c r="Z53" s="4"/>
      <c r="AA53" s="4"/>
      <c r="AB53" s="5"/>
    </row>
    <row r="54" spans="1:28" x14ac:dyDescent="0.35">
      <c r="A54" s="3"/>
      <c r="B54" s="4"/>
      <c r="C54" s="4"/>
      <c r="D54" s="4"/>
      <c r="E54" s="4"/>
      <c r="F54" s="4"/>
      <c r="G54" s="4"/>
      <c r="H54" s="4"/>
      <c r="I54" s="4"/>
      <c r="J54" s="4"/>
      <c r="K54" s="4"/>
      <c r="L54" s="4"/>
      <c r="M54" s="4"/>
      <c r="N54" s="4"/>
      <c r="O54" s="4"/>
      <c r="P54" s="4"/>
      <c r="Q54" s="4"/>
      <c r="R54" s="135"/>
      <c r="S54" s="4"/>
      <c r="T54" s="4"/>
      <c r="U54" s="4"/>
      <c r="V54" s="4"/>
      <c r="W54" s="4"/>
      <c r="X54" s="4"/>
      <c r="Y54" s="4"/>
      <c r="Z54" s="4"/>
      <c r="AA54" s="4"/>
      <c r="AB54" s="5"/>
    </row>
    <row r="55" spans="1:28" x14ac:dyDescent="0.35">
      <c r="A55" s="3"/>
      <c r="B55" s="4"/>
      <c r="C55" s="4"/>
      <c r="D55" s="4"/>
      <c r="E55" s="4"/>
      <c r="F55" s="4"/>
      <c r="G55" s="4"/>
      <c r="H55" s="4"/>
      <c r="I55" s="4"/>
      <c r="J55" s="4"/>
      <c r="K55" s="4"/>
      <c r="L55" s="4"/>
      <c r="M55" s="4"/>
      <c r="N55" s="4"/>
      <c r="O55" s="4"/>
      <c r="P55" s="4"/>
      <c r="Q55" s="4"/>
      <c r="R55" s="135"/>
      <c r="S55" s="4"/>
      <c r="T55" s="4"/>
      <c r="U55" s="4"/>
      <c r="V55" s="4"/>
      <c r="W55" s="4"/>
      <c r="X55" s="4"/>
      <c r="Y55" s="4"/>
      <c r="Z55" s="4"/>
      <c r="AA55" s="4"/>
      <c r="AB55" s="5"/>
    </row>
    <row r="56" spans="1:28" x14ac:dyDescent="0.35">
      <c r="A56" s="3"/>
      <c r="B56" s="4"/>
      <c r="C56" s="4"/>
      <c r="D56" s="4"/>
      <c r="E56" s="4"/>
      <c r="F56" s="4"/>
      <c r="G56" s="4"/>
      <c r="H56" s="4"/>
      <c r="I56" s="4"/>
      <c r="J56" s="4"/>
      <c r="K56" s="4"/>
      <c r="L56" s="4"/>
      <c r="M56" s="4"/>
      <c r="N56" s="4"/>
      <c r="O56" s="4"/>
      <c r="P56" s="4"/>
      <c r="Q56" s="4"/>
      <c r="R56" s="135"/>
      <c r="S56" s="4"/>
      <c r="T56" s="4"/>
      <c r="U56" s="4"/>
      <c r="V56" s="4"/>
      <c r="W56" s="4"/>
      <c r="X56" s="4"/>
      <c r="Y56" s="4"/>
      <c r="Z56" s="4"/>
      <c r="AA56" s="4"/>
      <c r="AB56" s="5"/>
    </row>
    <row r="57" spans="1:28" x14ac:dyDescent="0.35">
      <c r="A57" s="3"/>
      <c r="B57" s="4"/>
      <c r="C57" s="4"/>
      <c r="D57" s="4"/>
      <c r="E57" s="4"/>
      <c r="F57" s="4"/>
      <c r="G57" s="4"/>
      <c r="H57" s="4"/>
      <c r="I57" s="4"/>
      <c r="J57" s="4"/>
      <c r="K57" s="4"/>
      <c r="L57" s="4"/>
      <c r="M57" s="4"/>
      <c r="N57" s="4"/>
      <c r="O57" s="4"/>
      <c r="P57" s="4"/>
      <c r="Q57" s="4"/>
      <c r="R57" s="135"/>
      <c r="S57" s="4"/>
      <c r="T57" s="4"/>
      <c r="U57" s="4"/>
      <c r="V57" s="4"/>
      <c r="W57" s="4"/>
      <c r="X57" s="4"/>
      <c r="Y57" s="4"/>
      <c r="Z57" s="4"/>
      <c r="AA57" s="4"/>
      <c r="AB57" s="5"/>
    </row>
    <row r="58" spans="1:28" x14ac:dyDescent="0.35">
      <c r="A58" s="3"/>
      <c r="B58" s="4"/>
      <c r="C58" s="4"/>
      <c r="D58" s="4"/>
      <c r="E58" s="4"/>
      <c r="F58" s="4"/>
      <c r="G58" s="4"/>
      <c r="H58" s="4"/>
      <c r="I58" s="4"/>
      <c r="J58" s="4"/>
      <c r="K58" s="4"/>
      <c r="L58" s="4"/>
      <c r="M58" s="4"/>
      <c r="N58" s="4"/>
      <c r="O58" s="4"/>
      <c r="P58" s="4"/>
      <c r="Q58" s="4"/>
      <c r="R58" s="135"/>
      <c r="S58" s="4"/>
      <c r="T58" s="4"/>
      <c r="U58" s="4"/>
      <c r="V58" s="4"/>
      <c r="W58" s="4"/>
      <c r="X58" s="4"/>
      <c r="Y58" s="4"/>
      <c r="Z58" s="4"/>
      <c r="AA58" s="4"/>
      <c r="AB58" s="5"/>
    </row>
    <row r="59" spans="1:28" x14ac:dyDescent="0.35">
      <c r="A59" s="3"/>
      <c r="B59" s="4"/>
      <c r="C59" s="4"/>
      <c r="D59" s="4"/>
      <c r="E59" s="4"/>
      <c r="F59" s="4"/>
      <c r="G59" s="4"/>
      <c r="H59" s="4"/>
      <c r="I59" s="4"/>
      <c r="J59" s="4"/>
      <c r="K59" s="4"/>
      <c r="L59" s="4"/>
      <c r="M59" s="4"/>
      <c r="N59" s="4"/>
      <c r="O59" s="4"/>
      <c r="P59" s="4"/>
      <c r="Q59" s="4"/>
      <c r="R59" s="135"/>
      <c r="S59" s="4"/>
      <c r="T59" s="4"/>
      <c r="U59" s="4"/>
      <c r="V59" s="4"/>
      <c r="W59" s="4"/>
      <c r="X59" s="4"/>
      <c r="Y59" s="4"/>
      <c r="Z59" s="4"/>
      <c r="AA59" s="4"/>
      <c r="AB59" s="5"/>
    </row>
    <row r="60" spans="1:28" x14ac:dyDescent="0.35">
      <c r="A60" s="3"/>
      <c r="B60" s="4"/>
      <c r="C60" s="4"/>
      <c r="D60" s="4"/>
      <c r="E60" s="4"/>
      <c r="F60" s="4"/>
      <c r="G60" s="4"/>
      <c r="H60" s="4"/>
      <c r="I60" s="4"/>
      <c r="J60" s="4"/>
      <c r="K60" s="4"/>
      <c r="L60" s="4"/>
      <c r="M60" s="4"/>
      <c r="N60" s="4"/>
      <c r="O60" s="4"/>
      <c r="P60" s="4"/>
      <c r="Q60" s="4"/>
      <c r="R60" s="135"/>
      <c r="S60" s="4"/>
      <c r="T60" s="4"/>
      <c r="U60" s="4"/>
      <c r="V60" s="4"/>
      <c r="W60" s="4"/>
      <c r="X60" s="4"/>
      <c r="Y60" s="4"/>
      <c r="Z60" s="4"/>
      <c r="AA60" s="4"/>
      <c r="AB60" s="5"/>
    </row>
    <row r="61" spans="1:28" x14ac:dyDescent="0.35">
      <c r="A61" s="3"/>
      <c r="B61" s="4"/>
      <c r="C61" s="4"/>
      <c r="D61" s="4"/>
      <c r="E61" s="4"/>
      <c r="F61" s="4"/>
      <c r="G61" s="4"/>
      <c r="H61" s="4"/>
      <c r="I61" s="4"/>
      <c r="J61" s="4"/>
      <c r="K61" s="4"/>
      <c r="L61" s="4"/>
      <c r="M61" s="4"/>
      <c r="N61" s="4"/>
      <c r="O61" s="4"/>
      <c r="P61" s="4"/>
      <c r="Q61" s="4"/>
      <c r="R61" s="135"/>
      <c r="S61" s="4"/>
      <c r="T61" s="4"/>
      <c r="U61" s="4"/>
      <c r="V61" s="4"/>
      <c r="W61" s="4"/>
      <c r="X61" s="4"/>
      <c r="Y61" s="4"/>
      <c r="Z61" s="4"/>
      <c r="AA61" s="4"/>
      <c r="AB61" s="5"/>
    </row>
    <row r="62" spans="1:28" x14ac:dyDescent="0.35">
      <c r="A62" s="3"/>
      <c r="B62" s="4"/>
      <c r="C62" s="4"/>
      <c r="D62" s="4"/>
      <c r="E62" s="4"/>
      <c r="F62" s="4"/>
      <c r="G62" s="4"/>
      <c r="H62" s="4"/>
      <c r="I62" s="4"/>
      <c r="J62" s="4"/>
      <c r="K62" s="4"/>
      <c r="L62" s="4"/>
      <c r="M62" s="4"/>
      <c r="N62" s="4"/>
      <c r="O62" s="4"/>
      <c r="P62" s="4"/>
      <c r="Q62" s="4"/>
      <c r="R62" s="135"/>
      <c r="S62" s="4"/>
      <c r="T62" s="4"/>
      <c r="U62" s="4"/>
      <c r="V62" s="4"/>
      <c r="W62" s="4"/>
      <c r="X62" s="4"/>
      <c r="Y62" s="4"/>
      <c r="Z62" s="4"/>
      <c r="AA62" s="4"/>
      <c r="AB62" s="5"/>
    </row>
    <row r="63" spans="1:28" x14ac:dyDescent="0.35">
      <c r="A63" s="3"/>
      <c r="B63" s="4"/>
      <c r="C63" s="4"/>
      <c r="D63" s="4"/>
      <c r="E63" s="4"/>
      <c r="F63" s="4"/>
      <c r="G63" s="4"/>
      <c r="H63" s="4"/>
      <c r="I63" s="4"/>
      <c r="J63" s="4"/>
      <c r="K63" s="4"/>
      <c r="L63" s="4"/>
      <c r="M63" s="4"/>
      <c r="N63" s="4"/>
      <c r="O63" s="4"/>
      <c r="P63" s="4"/>
      <c r="Q63" s="4"/>
      <c r="R63" s="135"/>
      <c r="S63" s="4"/>
      <c r="T63" s="4"/>
      <c r="U63" s="4"/>
      <c r="V63" s="4"/>
      <c r="W63" s="4"/>
      <c r="X63" s="4"/>
      <c r="Y63" s="4"/>
      <c r="Z63" s="4"/>
      <c r="AA63" s="4"/>
      <c r="AB63" s="5"/>
    </row>
    <row r="64" spans="1:28" x14ac:dyDescent="0.35">
      <c r="A64" s="3"/>
      <c r="B64" s="4"/>
      <c r="C64" s="4"/>
      <c r="D64" s="4"/>
      <c r="E64" s="4"/>
      <c r="F64" s="4"/>
      <c r="G64" s="4"/>
      <c r="H64" s="4"/>
      <c r="I64" s="4"/>
      <c r="J64" s="4"/>
      <c r="K64" s="4"/>
      <c r="L64" s="4"/>
      <c r="M64" s="4"/>
      <c r="N64" s="4"/>
      <c r="O64" s="4"/>
      <c r="P64" s="4"/>
      <c r="Q64" s="4"/>
      <c r="R64" s="135"/>
      <c r="S64" s="4"/>
      <c r="T64" s="4"/>
      <c r="U64" s="4"/>
      <c r="V64" s="4"/>
      <c r="W64" s="4"/>
      <c r="X64" s="4"/>
      <c r="Y64" s="4"/>
      <c r="Z64" s="4"/>
      <c r="AA64" s="4"/>
      <c r="AB64" s="5"/>
    </row>
    <row r="65" spans="1:28" x14ac:dyDescent="0.35">
      <c r="A65" s="3"/>
      <c r="B65" s="4"/>
      <c r="C65" s="4"/>
      <c r="D65" s="4"/>
      <c r="E65" s="4"/>
      <c r="F65" s="4"/>
      <c r="G65" s="4"/>
      <c r="H65" s="4"/>
      <c r="I65" s="4"/>
      <c r="J65" s="4"/>
      <c r="K65" s="4"/>
      <c r="L65" s="4"/>
      <c r="M65" s="4"/>
      <c r="N65" s="4"/>
      <c r="O65" s="4"/>
      <c r="P65" s="4"/>
      <c r="Q65" s="4"/>
      <c r="R65" s="135"/>
      <c r="S65" s="4"/>
      <c r="T65" s="4"/>
      <c r="U65" s="4"/>
      <c r="V65" s="4"/>
      <c r="W65" s="4"/>
      <c r="X65" s="4"/>
      <c r="Y65" s="4"/>
      <c r="Z65" s="4"/>
      <c r="AA65" s="4"/>
      <c r="AB65" s="5"/>
    </row>
    <row r="66" spans="1:28" x14ac:dyDescent="0.35">
      <c r="A66" s="3"/>
      <c r="B66" s="4"/>
      <c r="C66" s="4"/>
      <c r="D66" s="4"/>
      <c r="E66" s="4"/>
      <c r="F66" s="4"/>
      <c r="G66" s="4"/>
      <c r="H66" s="4"/>
      <c r="I66" s="4"/>
      <c r="J66" s="4"/>
      <c r="K66" s="4"/>
      <c r="L66" s="4"/>
      <c r="M66" s="4"/>
      <c r="N66" s="4"/>
      <c r="O66" s="4"/>
      <c r="P66" s="4"/>
      <c r="Q66" s="4"/>
      <c r="R66" s="135"/>
      <c r="S66" s="4"/>
      <c r="T66" s="4"/>
      <c r="U66" s="4"/>
      <c r="V66" s="4"/>
      <c r="W66" s="4"/>
      <c r="X66" s="4"/>
      <c r="Y66" s="4"/>
      <c r="Z66" s="4"/>
      <c r="AA66" s="4"/>
      <c r="AB66" s="5"/>
    </row>
    <row r="67" spans="1:28" x14ac:dyDescent="0.35">
      <c r="A67" s="3"/>
      <c r="B67" s="4"/>
      <c r="C67" s="4"/>
      <c r="D67" s="4"/>
      <c r="E67" s="4"/>
      <c r="F67" s="4"/>
      <c r="G67" s="4"/>
      <c r="H67" s="4"/>
      <c r="I67" s="4"/>
      <c r="J67" s="4"/>
      <c r="K67" s="4"/>
      <c r="L67" s="4"/>
      <c r="M67" s="4"/>
      <c r="N67" s="4"/>
      <c r="O67" s="4"/>
      <c r="P67" s="4"/>
      <c r="Q67" s="4"/>
      <c r="R67" s="135"/>
      <c r="S67" s="4"/>
      <c r="T67" s="4"/>
      <c r="U67" s="4"/>
      <c r="V67" s="4"/>
      <c r="W67" s="4"/>
      <c r="X67" s="4"/>
      <c r="Y67" s="4"/>
      <c r="Z67" s="4"/>
      <c r="AA67" s="4"/>
      <c r="AB67" s="5"/>
    </row>
    <row r="68" spans="1:28" x14ac:dyDescent="0.35">
      <c r="A68" s="3"/>
      <c r="B68" s="4"/>
      <c r="C68" s="4"/>
      <c r="D68" s="4"/>
      <c r="E68" s="4"/>
      <c r="F68" s="4"/>
      <c r="G68" s="4"/>
      <c r="H68" s="4"/>
      <c r="I68" s="4"/>
      <c r="J68" s="4"/>
      <c r="K68" s="4"/>
      <c r="L68" s="4"/>
      <c r="M68" s="4"/>
      <c r="N68" s="4"/>
      <c r="O68" s="4"/>
      <c r="P68" s="4"/>
      <c r="Q68" s="4"/>
      <c r="R68" s="135"/>
      <c r="S68" s="4"/>
      <c r="T68" s="4"/>
      <c r="U68" s="4"/>
      <c r="V68" s="4"/>
      <c r="W68" s="4"/>
      <c r="X68" s="4"/>
      <c r="Y68" s="4"/>
      <c r="Z68" s="4"/>
      <c r="AA68" s="4"/>
      <c r="AB68" s="5"/>
    </row>
    <row r="69" spans="1:28" x14ac:dyDescent="0.35">
      <c r="A69" s="3"/>
      <c r="B69" s="4"/>
      <c r="C69" s="4"/>
      <c r="D69" s="4"/>
      <c r="E69" s="4"/>
      <c r="F69" s="4"/>
      <c r="G69" s="4"/>
      <c r="H69" s="4"/>
      <c r="I69" s="4"/>
      <c r="J69" s="4"/>
      <c r="K69" s="4"/>
      <c r="L69" s="4"/>
      <c r="M69" s="4"/>
      <c r="N69" s="4"/>
      <c r="O69" s="4"/>
      <c r="P69" s="4"/>
      <c r="Q69" s="4"/>
      <c r="R69" s="135"/>
      <c r="S69" s="4"/>
      <c r="T69" s="4"/>
      <c r="U69" s="4"/>
      <c r="V69" s="4"/>
      <c r="W69" s="4"/>
      <c r="X69" s="4"/>
      <c r="Y69" s="4"/>
      <c r="Z69" s="4"/>
      <c r="AA69" s="4"/>
      <c r="AB69" s="5"/>
    </row>
    <row r="70" spans="1:28" x14ac:dyDescent="0.35">
      <c r="A70" s="3"/>
      <c r="B70" s="4"/>
      <c r="C70" s="4"/>
      <c r="D70" s="4"/>
      <c r="E70" s="4"/>
      <c r="F70" s="4"/>
      <c r="G70" s="4"/>
      <c r="H70" s="4"/>
      <c r="I70" s="4"/>
      <c r="J70" s="4"/>
      <c r="K70" s="4"/>
      <c r="L70" s="4"/>
      <c r="M70" s="4"/>
      <c r="N70" s="4"/>
      <c r="O70" s="4"/>
      <c r="P70" s="4"/>
      <c r="Q70" s="4"/>
      <c r="R70" s="135"/>
      <c r="S70" s="4"/>
      <c r="T70" s="4"/>
      <c r="U70" s="4"/>
      <c r="V70" s="4"/>
      <c r="W70" s="4"/>
      <c r="X70" s="4"/>
      <c r="Y70" s="4"/>
      <c r="Z70" s="4"/>
      <c r="AA70" s="4"/>
      <c r="AB70" s="5"/>
    </row>
    <row r="71" spans="1:28" x14ac:dyDescent="0.35">
      <c r="A71" s="3"/>
      <c r="B71" s="4"/>
      <c r="C71" s="4"/>
      <c r="D71" s="4"/>
      <c r="E71" s="4"/>
      <c r="F71" s="4"/>
      <c r="G71" s="4"/>
      <c r="H71" s="4"/>
      <c r="I71" s="4"/>
      <c r="J71" s="4"/>
      <c r="K71" s="4"/>
      <c r="L71" s="4"/>
      <c r="M71" s="4"/>
      <c r="N71" s="4"/>
      <c r="O71" s="4"/>
      <c r="P71" s="4"/>
      <c r="Q71" s="4"/>
      <c r="R71" s="135"/>
      <c r="S71" s="4"/>
      <c r="T71" s="4"/>
      <c r="U71" s="4"/>
      <c r="V71" s="4"/>
      <c r="W71" s="4"/>
      <c r="X71" s="4"/>
      <c r="Y71" s="4"/>
      <c r="Z71" s="4"/>
      <c r="AA71" s="4"/>
      <c r="AB71" s="5"/>
    </row>
    <row r="72" spans="1:28" x14ac:dyDescent="0.35">
      <c r="A72" s="3"/>
      <c r="B72" s="4"/>
      <c r="C72" s="4"/>
      <c r="D72" s="4"/>
      <c r="E72" s="4"/>
      <c r="F72" s="4"/>
      <c r="G72" s="4"/>
      <c r="H72" s="4"/>
      <c r="I72" s="4"/>
      <c r="J72" s="4"/>
      <c r="K72" s="4"/>
      <c r="L72" s="4"/>
      <c r="M72" s="4"/>
      <c r="N72" s="4"/>
      <c r="O72" s="4"/>
      <c r="P72" s="4"/>
      <c r="Q72" s="4"/>
      <c r="R72" s="135"/>
      <c r="S72" s="4"/>
      <c r="T72" s="4"/>
      <c r="U72" s="4"/>
      <c r="V72" s="4"/>
      <c r="W72" s="4"/>
      <c r="X72" s="4"/>
      <c r="Y72" s="4"/>
      <c r="Z72" s="4"/>
      <c r="AA72" s="4"/>
      <c r="AB72" s="5"/>
    </row>
    <row r="73" spans="1:28" x14ac:dyDescent="0.35">
      <c r="A73" s="3"/>
      <c r="B73" s="4"/>
      <c r="C73" s="4"/>
      <c r="D73" s="4"/>
      <c r="E73" s="4"/>
      <c r="F73" s="4"/>
      <c r="G73" s="4"/>
      <c r="H73" s="4"/>
      <c r="I73" s="4"/>
      <c r="J73" s="4"/>
      <c r="K73" s="4"/>
      <c r="L73" s="4"/>
      <c r="M73" s="4"/>
      <c r="N73" s="4"/>
      <c r="O73" s="4"/>
      <c r="P73" s="4"/>
      <c r="Q73" s="4"/>
      <c r="R73" s="135"/>
      <c r="S73" s="4"/>
      <c r="T73" s="4"/>
      <c r="U73" s="4"/>
      <c r="V73" s="4"/>
      <c r="W73" s="4"/>
      <c r="X73" s="4"/>
      <c r="Y73" s="4"/>
      <c r="Z73" s="4"/>
      <c r="AA73" s="4"/>
      <c r="AB73" s="5"/>
    </row>
    <row r="74" spans="1:28" x14ac:dyDescent="0.35">
      <c r="A74" s="3"/>
      <c r="B74" s="4"/>
      <c r="C74" s="4"/>
      <c r="D74" s="4"/>
      <c r="E74" s="4"/>
      <c r="F74" s="4"/>
      <c r="G74" s="4"/>
      <c r="H74" s="4"/>
      <c r="I74" s="4"/>
      <c r="J74" s="4"/>
      <c r="K74" s="4"/>
      <c r="L74" s="4"/>
      <c r="M74" s="4"/>
      <c r="N74" s="4"/>
      <c r="O74" s="4"/>
      <c r="P74" s="4"/>
      <c r="Q74" s="4"/>
      <c r="R74" s="135"/>
      <c r="S74" s="4"/>
      <c r="T74" s="4"/>
      <c r="U74" s="4"/>
      <c r="V74" s="4"/>
      <c r="W74" s="4"/>
      <c r="X74" s="4"/>
      <c r="Y74" s="4"/>
      <c r="Z74" s="4"/>
      <c r="AA74" s="4"/>
      <c r="AB74" s="5"/>
    </row>
    <row r="75" spans="1:28" x14ac:dyDescent="0.35">
      <c r="A75" s="3"/>
      <c r="B75" s="4"/>
      <c r="C75" s="4"/>
      <c r="D75" s="4"/>
      <c r="E75" s="4"/>
      <c r="F75" s="4"/>
      <c r="G75" s="4"/>
      <c r="H75" s="4"/>
      <c r="I75" s="4"/>
      <c r="J75" s="4"/>
      <c r="K75" s="4"/>
      <c r="L75" s="4"/>
      <c r="M75" s="4"/>
      <c r="N75" s="4"/>
      <c r="O75" s="4"/>
      <c r="P75" s="4"/>
      <c r="Q75" s="4"/>
      <c r="R75" s="135"/>
      <c r="S75" s="4"/>
      <c r="T75" s="4"/>
      <c r="U75" s="4"/>
      <c r="V75" s="4"/>
      <c r="W75" s="4"/>
      <c r="X75" s="4"/>
      <c r="Y75" s="4"/>
      <c r="Z75" s="4"/>
      <c r="AA75" s="4"/>
      <c r="AB75" s="5"/>
    </row>
    <row r="76" spans="1:28" x14ac:dyDescent="0.35">
      <c r="A76" s="3"/>
      <c r="B76" s="4"/>
      <c r="C76" s="4"/>
      <c r="D76" s="4"/>
      <c r="E76" s="4"/>
      <c r="F76" s="4"/>
      <c r="G76" s="4"/>
      <c r="H76" s="4"/>
      <c r="I76" s="4"/>
      <c r="J76" s="4"/>
      <c r="K76" s="4"/>
      <c r="L76" s="4"/>
      <c r="M76" s="4"/>
      <c r="N76" s="4"/>
      <c r="O76" s="4"/>
      <c r="P76" s="4"/>
      <c r="Q76" s="4"/>
      <c r="R76" s="135"/>
      <c r="S76" s="4"/>
      <c r="T76" s="4"/>
      <c r="U76" s="4"/>
      <c r="V76" s="4"/>
      <c r="W76" s="4"/>
      <c r="X76" s="4"/>
      <c r="Y76" s="4"/>
      <c r="Z76" s="4"/>
      <c r="AA76" s="4"/>
      <c r="AB76" s="5"/>
    </row>
    <row r="77" spans="1:28" x14ac:dyDescent="0.35">
      <c r="A77" s="3"/>
      <c r="B77" s="4"/>
      <c r="C77" s="4"/>
      <c r="D77" s="4"/>
      <c r="E77" s="4"/>
      <c r="F77" s="4"/>
      <c r="G77" s="4"/>
      <c r="H77" s="4"/>
      <c r="I77" s="4"/>
      <c r="J77" s="4"/>
      <c r="K77" s="4"/>
      <c r="L77" s="4"/>
      <c r="M77" s="4"/>
      <c r="N77" s="4"/>
      <c r="O77" s="4"/>
      <c r="P77" s="4"/>
      <c r="Q77" s="4"/>
      <c r="R77" s="135"/>
      <c r="S77" s="4"/>
      <c r="T77" s="4"/>
      <c r="U77" s="4"/>
      <c r="V77" s="4"/>
      <c r="W77" s="4"/>
      <c r="X77" s="4"/>
      <c r="Y77" s="4"/>
      <c r="Z77" s="4"/>
      <c r="AA77" s="4"/>
      <c r="AB77" s="5"/>
    </row>
    <row r="78" spans="1:28" x14ac:dyDescent="0.35">
      <c r="A78" s="3"/>
      <c r="B78" s="4"/>
      <c r="C78" s="4"/>
      <c r="D78" s="4"/>
      <c r="E78" s="4"/>
      <c r="F78" s="4"/>
      <c r="G78" s="4"/>
      <c r="H78" s="4"/>
      <c r="I78" s="4"/>
      <c r="J78" s="4"/>
      <c r="K78" s="4"/>
      <c r="L78" s="4"/>
      <c r="M78" s="4"/>
      <c r="N78" s="4"/>
      <c r="O78" s="4"/>
      <c r="P78" s="4"/>
      <c r="Q78" s="4"/>
      <c r="R78" s="135"/>
      <c r="S78" s="4"/>
      <c r="T78" s="4"/>
      <c r="U78" s="4"/>
      <c r="V78" s="4"/>
      <c r="W78" s="4"/>
      <c r="X78" s="4"/>
      <c r="Y78" s="4"/>
      <c r="Z78" s="4"/>
      <c r="AA78" s="4"/>
      <c r="AB78" s="5"/>
    </row>
    <row r="79" spans="1:28" x14ac:dyDescent="0.35">
      <c r="A79" s="3"/>
      <c r="B79" s="4"/>
      <c r="C79" s="4"/>
      <c r="D79" s="4"/>
      <c r="E79" s="4"/>
      <c r="F79" s="4"/>
      <c r="G79" s="4"/>
      <c r="H79" s="4"/>
      <c r="I79" s="4"/>
      <c r="J79" s="4"/>
      <c r="K79" s="4"/>
      <c r="L79" s="4"/>
      <c r="M79" s="4"/>
      <c r="N79" s="4"/>
      <c r="O79" s="4"/>
      <c r="P79" s="4"/>
      <c r="Q79" s="4"/>
      <c r="R79" s="135"/>
      <c r="S79" s="4"/>
      <c r="T79" s="4"/>
      <c r="U79" s="4"/>
      <c r="V79" s="4"/>
      <c r="W79" s="4"/>
      <c r="X79" s="4"/>
      <c r="Y79" s="4"/>
      <c r="Z79" s="4"/>
      <c r="AA79" s="4"/>
      <c r="AB79" s="5"/>
    </row>
    <row r="80" spans="1:28" x14ac:dyDescent="0.35">
      <c r="A80" s="3"/>
      <c r="B80" s="4"/>
      <c r="C80" s="4"/>
      <c r="D80" s="4"/>
      <c r="E80" s="4"/>
      <c r="F80" s="4"/>
      <c r="G80" s="4"/>
      <c r="H80" s="4"/>
      <c r="I80" s="4"/>
      <c r="J80" s="4"/>
      <c r="K80" s="4"/>
      <c r="L80" s="4"/>
      <c r="M80" s="4"/>
      <c r="N80" s="4"/>
      <c r="O80" s="4"/>
      <c r="P80" s="4"/>
      <c r="Q80" s="4"/>
      <c r="R80" s="135"/>
      <c r="S80" s="4"/>
      <c r="T80" s="4"/>
      <c r="U80" s="4"/>
      <c r="V80" s="4"/>
      <c r="W80" s="4"/>
      <c r="X80" s="4"/>
      <c r="Y80" s="4"/>
      <c r="Z80" s="4"/>
      <c r="AA80" s="4"/>
      <c r="AB80" s="5"/>
    </row>
    <row r="81" spans="1:28" x14ac:dyDescent="0.35">
      <c r="A81" s="3"/>
      <c r="B81" s="4"/>
      <c r="C81" s="4"/>
      <c r="D81" s="4"/>
      <c r="E81" s="4"/>
      <c r="F81" s="4"/>
      <c r="G81" s="4"/>
      <c r="H81" s="4"/>
      <c r="I81" s="4"/>
      <c r="J81" s="4"/>
      <c r="K81" s="4"/>
      <c r="L81" s="4"/>
      <c r="M81" s="4"/>
      <c r="N81" s="4"/>
      <c r="O81" s="4"/>
      <c r="P81" s="4"/>
      <c r="Q81" s="4"/>
      <c r="R81" s="135"/>
      <c r="S81" s="4"/>
      <c r="T81" s="4"/>
      <c r="U81" s="4"/>
      <c r="V81" s="4"/>
      <c r="W81" s="4"/>
      <c r="X81" s="4"/>
      <c r="Y81" s="4"/>
      <c r="Z81" s="4"/>
      <c r="AA81" s="4"/>
      <c r="AB81" s="5"/>
    </row>
    <row r="82" spans="1:28" x14ac:dyDescent="0.35">
      <c r="A82" s="3"/>
      <c r="B82" s="4"/>
      <c r="C82" s="4"/>
      <c r="D82" s="4"/>
      <c r="E82" s="4"/>
      <c r="F82" s="4"/>
      <c r="G82" s="4"/>
      <c r="H82" s="4"/>
      <c r="I82" s="4"/>
      <c r="J82" s="4"/>
      <c r="K82" s="4"/>
      <c r="L82" s="4"/>
      <c r="M82" s="4"/>
      <c r="N82" s="4"/>
      <c r="O82" s="4"/>
      <c r="P82" s="4"/>
      <c r="Q82" s="4"/>
      <c r="R82" s="135"/>
      <c r="S82" s="4"/>
      <c r="T82" s="4"/>
      <c r="U82" s="4"/>
      <c r="V82" s="4"/>
      <c r="W82" s="4"/>
      <c r="X82" s="4"/>
      <c r="Y82" s="4"/>
      <c r="Z82" s="4"/>
      <c r="AA82" s="4"/>
      <c r="AB82" s="5"/>
    </row>
    <row r="83" spans="1:28" x14ac:dyDescent="0.35">
      <c r="A83" s="3"/>
      <c r="B83" s="4"/>
      <c r="C83" s="4"/>
      <c r="D83" s="4"/>
      <c r="E83" s="4"/>
      <c r="F83" s="4"/>
      <c r="G83" s="4"/>
      <c r="H83" s="4"/>
      <c r="I83" s="4"/>
      <c r="J83" s="4"/>
      <c r="K83" s="4"/>
      <c r="L83" s="4"/>
      <c r="M83" s="4"/>
      <c r="N83" s="4"/>
      <c r="O83" s="4"/>
      <c r="P83" s="4"/>
      <c r="Q83" s="4"/>
      <c r="R83" s="135"/>
      <c r="S83" s="4"/>
      <c r="T83" s="4"/>
      <c r="U83" s="4"/>
      <c r="V83" s="4"/>
      <c r="W83" s="4"/>
      <c r="X83" s="4"/>
      <c r="Y83" s="4"/>
      <c r="Z83" s="4"/>
      <c r="AA83" s="4"/>
      <c r="AB83" s="5"/>
    </row>
    <row r="84" spans="1:28" x14ac:dyDescent="0.35">
      <c r="A84" s="3"/>
      <c r="B84" s="4"/>
      <c r="C84" s="4"/>
      <c r="D84" s="4"/>
      <c r="E84" s="4"/>
      <c r="F84" s="4"/>
      <c r="G84" s="4"/>
      <c r="H84" s="4"/>
      <c r="I84" s="4"/>
      <c r="J84" s="4"/>
      <c r="K84" s="4"/>
      <c r="L84" s="4"/>
      <c r="M84" s="4"/>
      <c r="N84" s="4"/>
      <c r="O84" s="4"/>
      <c r="P84" s="4"/>
      <c r="Q84" s="4"/>
      <c r="R84" s="135"/>
      <c r="S84" s="4"/>
      <c r="T84" s="4"/>
      <c r="U84" s="4"/>
      <c r="V84" s="4"/>
      <c r="W84" s="4"/>
      <c r="X84" s="4"/>
      <c r="Y84" s="4"/>
      <c r="Z84" s="4"/>
      <c r="AA84" s="4"/>
      <c r="AB84" s="5"/>
    </row>
    <row r="85" spans="1:28" x14ac:dyDescent="0.35">
      <c r="A85" s="3"/>
      <c r="B85" s="4"/>
      <c r="C85" s="4"/>
      <c r="D85" s="4"/>
      <c r="E85" s="4"/>
      <c r="F85" s="4"/>
      <c r="G85" s="4"/>
      <c r="H85" s="4"/>
      <c r="I85" s="4"/>
      <c r="J85" s="4"/>
      <c r="K85" s="4"/>
      <c r="L85" s="4"/>
      <c r="M85" s="4"/>
      <c r="N85" s="4"/>
      <c r="O85" s="4"/>
      <c r="P85" s="4"/>
      <c r="Q85" s="4"/>
      <c r="R85" s="135"/>
      <c r="S85" s="4"/>
      <c r="T85" s="4"/>
      <c r="U85" s="4"/>
      <c r="V85" s="4"/>
      <c r="W85" s="4"/>
      <c r="X85" s="4"/>
      <c r="Y85" s="4"/>
      <c r="Z85" s="4"/>
      <c r="AA85" s="4"/>
      <c r="AB85" s="5"/>
    </row>
    <row r="86" spans="1:28" x14ac:dyDescent="0.35">
      <c r="A86" s="3"/>
      <c r="B86" s="4"/>
      <c r="C86" s="4"/>
      <c r="D86" s="4"/>
      <c r="E86" s="4"/>
      <c r="F86" s="4"/>
      <c r="G86" s="4"/>
      <c r="H86" s="4"/>
      <c r="I86" s="4"/>
      <c r="J86" s="4"/>
      <c r="K86" s="4"/>
      <c r="L86" s="4"/>
      <c r="M86" s="4"/>
      <c r="N86" s="4"/>
      <c r="O86" s="4"/>
      <c r="P86" s="4"/>
      <c r="Q86" s="4"/>
      <c r="R86" s="135"/>
      <c r="S86" s="4"/>
      <c r="T86" s="4"/>
      <c r="U86" s="4"/>
      <c r="V86" s="4"/>
      <c r="W86" s="4"/>
      <c r="X86" s="4"/>
      <c r="Y86" s="4"/>
      <c r="Z86" s="4"/>
      <c r="AA86" s="4"/>
      <c r="AB86" s="5"/>
    </row>
    <row r="87" spans="1:28" x14ac:dyDescent="0.35">
      <c r="A87" s="3"/>
      <c r="B87" s="4"/>
      <c r="C87" s="4"/>
      <c r="D87" s="4"/>
      <c r="E87" s="4"/>
      <c r="F87" s="4"/>
      <c r="G87" s="4"/>
      <c r="H87" s="4"/>
      <c r="I87" s="4"/>
      <c r="J87" s="4"/>
      <c r="K87" s="4"/>
      <c r="L87" s="4"/>
      <c r="M87" s="4"/>
      <c r="N87" s="4"/>
      <c r="O87" s="4"/>
      <c r="P87" s="4"/>
      <c r="Q87" s="4"/>
      <c r="R87" s="135"/>
      <c r="S87" s="4"/>
      <c r="T87" s="4"/>
      <c r="U87" s="4"/>
      <c r="V87" s="4"/>
      <c r="W87" s="4"/>
      <c r="X87" s="4"/>
      <c r="Y87" s="4"/>
      <c r="Z87" s="4"/>
      <c r="AA87" s="4"/>
      <c r="AB87" s="5"/>
    </row>
    <row r="88" spans="1:28" x14ac:dyDescent="0.35">
      <c r="A88" s="3"/>
      <c r="B88" s="4"/>
      <c r="C88" s="4"/>
      <c r="D88" s="4"/>
      <c r="E88" s="4"/>
      <c r="F88" s="4"/>
      <c r="G88" s="4"/>
      <c r="H88" s="4"/>
      <c r="I88" s="4"/>
      <c r="J88" s="4"/>
      <c r="K88" s="4"/>
      <c r="L88" s="4"/>
      <c r="M88" s="4"/>
      <c r="N88" s="4"/>
      <c r="O88" s="4"/>
      <c r="P88" s="4"/>
      <c r="Q88" s="4"/>
      <c r="R88" s="135"/>
      <c r="S88" s="4"/>
      <c r="T88" s="4"/>
      <c r="U88" s="4"/>
      <c r="V88" s="4"/>
      <c r="W88" s="4"/>
      <c r="X88" s="4"/>
      <c r="Y88" s="4"/>
      <c r="Z88" s="4"/>
      <c r="AA88" s="4"/>
      <c r="AB88" s="5"/>
    </row>
    <row r="89" spans="1:28" x14ac:dyDescent="0.35">
      <c r="A89" s="3"/>
      <c r="B89" s="4"/>
      <c r="C89" s="4"/>
      <c r="D89" s="4"/>
      <c r="E89" s="4"/>
      <c r="F89" s="4"/>
      <c r="G89" s="4"/>
      <c r="H89" s="4"/>
      <c r="I89" s="4"/>
      <c r="J89" s="4"/>
      <c r="K89" s="4"/>
      <c r="L89" s="4"/>
      <c r="M89" s="4"/>
      <c r="N89" s="4"/>
      <c r="O89" s="4"/>
      <c r="P89" s="4"/>
      <c r="Q89" s="4"/>
      <c r="R89" s="135"/>
      <c r="S89" s="4"/>
      <c r="T89" s="4"/>
      <c r="U89" s="4"/>
      <c r="V89" s="4"/>
      <c r="W89" s="4"/>
      <c r="X89" s="4"/>
      <c r="Y89" s="4"/>
      <c r="Z89" s="4"/>
      <c r="AA89" s="4"/>
      <c r="AB89" s="5"/>
    </row>
    <row r="90" spans="1:28" x14ac:dyDescent="0.35">
      <c r="A90" s="3"/>
      <c r="B90" s="4"/>
      <c r="C90" s="4"/>
      <c r="D90" s="4"/>
      <c r="E90" s="4"/>
      <c r="F90" s="4"/>
      <c r="G90" s="4"/>
      <c r="H90" s="4"/>
      <c r="I90" s="4"/>
      <c r="J90" s="4"/>
      <c r="K90" s="4"/>
      <c r="L90" s="4"/>
      <c r="M90" s="4"/>
      <c r="N90" s="4"/>
      <c r="O90" s="4"/>
      <c r="P90" s="4"/>
      <c r="Q90" s="4"/>
      <c r="R90" s="135"/>
      <c r="S90" s="4"/>
      <c r="T90" s="4"/>
      <c r="U90" s="4"/>
      <c r="V90" s="4"/>
      <c r="W90" s="4"/>
      <c r="X90" s="4"/>
      <c r="Y90" s="4"/>
      <c r="Z90" s="4"/>
      <c r="AA90" s="4"/>
      <c r="AB90" s="5"/>
    </row>
    <row r="91" spans="1:28" x14ac:dyDescent="0.35">
      <c r="A91" s="3"/>
      <c r="B91" s="4"/>
      <c r="C91" s="4"/>
      <c r="D91" s="4"/>
      <c r="E91" s="4"/>
      <c r="F91" s="4"/>
      <c r="G91" s="4"/>
      <c r="H91" s="4"/>
      <c r="I91" s="4"/>
      <c r="J91" s="4"/>
      <c r="K91" s="4"/>
      <c r="L91" s="4"/>
      <c r="M91" s="4"/>
      <c r="N91" s="4"/>
      <c r="O91" s="4"/>
      <c r="P91" s="4"/>
      <c r="Q91" s="4"/>
      <c r="R91" s="135"/>
      <c r="S91" s="4"/>
      <c r="T91" s="4"/>
      <c r="U91" s="4"/>
      <c r="V91" s="4"/>
      <c r="W91" s="4"/>
      <c r="X91" s="4"/>
      <c r="Y91" s="4"/>
      <c r="Z91" s="4"/>
      <c r="AA91" s="4"/>
      <c r="AB91" s="5"/>
    </row>
    <row r="92" spans="1:28" x14ac:dyDescent="0.35">
      <c r="A92" s="3"/>
      <c r="B92" s="4"/>
      <c r="C92" s="4"/>
      <c r="D92" s="4"/>
      <c r="E92" s="4"/>
      <c r="F92" s="4"/>
      <c r="G92" s="4"/>
      <c r="H92" s="4"/>
      <c r="I92" s="4"/>
      <c r="J92" s="4"/>
      <c r="K92" s="4"/>
      <c r="L92" s="4"/>
      <c r="M92" s="4"/>
      <c r="N92" s="4"/>
      <c r="O92" s="4"/>
      <c r="P92" s="4"/>
      <c r="Q92" s="4"/>
      <c r="R92" s="135"/>
      <c r="S92" s="4"/>
      <c r="T92" s="4"/>
      <c r="U92" s="4"/>
      <c r="V92" s="4"/>
      <c r="W92" s="4"/>
      <c r="X92" s="4"/>
      <c r="Y92" s="4"/>
      <c r="Z92" s="4"/>
      <c r="AA92" s="4"/>
      <c r="AB92" s="5"/>
    </row>
    <row r="93" spans="1:28" x14ac:dyDescent="0.35">
      <c r="A93" s="3"/>
      <c r="B93" s="4"/>
      <c r="C93" s="4"/>
      <c r="D93" s="4"/>
      <c r="E93" s="4"/>
      <c r="F93" s="4"/>
      <c r="G93" s="4"/>
      <c r="H93" s="4"/>
      <c r="I93" s="4"/>
      <c r="J93" s="4"/>
      <c r="K93" s="4"/>
      <c r="L93" s="4"/>
      <c r="M93" s="4"/>
      <c r="N93" s="4"/>
      <c r="O93" s="4"/>
      <c r="P93" s="4"/>
      <c r="Q93" s="4"/>
      <c r="R93" s="135"/>
      <c r="S93" s="4"/>
      <c r="T93" s="4"/>
      <c r="U93" s="4"/>
      <c r="V93" s="4"/>
      <c r="W93" s="4"/>
      <c r="X93" s="4"/>
      <c r="Y93" s="4"/>
      <c r="Z93" s="4"/>
      <c r="AA93" s="4"/>
      <c r="AB93" s="5"/>
    </row>
    <row r="94" spans="1:28" x14ac:dyDescent="0.35">
      <c r="A94" s="3"/>
      <c r="B94" s="4"/>
      <c r="C94" s="4"/>
      <c r="D94" s="4"/>
      <c r="E94" s="4"/>
      <c r="F94" s="4"/>
      <c r="G94" s="4"/>
      <c r="H94" s="4"/>
      <c r="I94" s="4"/>
      <c r="J94" s="4"/>
      <c r="K94" s="4"/>
      <c r="L94" s="4"/>
      <c r="M94" s="4"/>
      <c r="N94" s="4"/>
      <c r="O94" s="4"/>
      <c r="P94" s="4"/>
      <c r="Q94" s="4"/>
      <c r="R94" s="135"/>
      <c r="S94" s="4"/>
      <c r="T94" s="4"/>
      <c r="U94" s="4"/>
      <c r="V94" s="4"/>
      <c r="W94" s="4"/>
      <c r="X94" s="4"/>
      <c r="Y94" s="4"/>
      <c r="Z94" s="4"/>
      <c r="AA94" s="4"/>
      <c r="AB94" s="5"/>
    </row>
    <row r="95" spans="1:28" x14ac:dyDescent="0.35">
      <c r="A95" s="3"/>
      <c r="B95" s="4"/>
      <c r="C95" s="4"/>
      <c r="D95" s="4"/>
      <c r="E95" s="4"/>
      <c r="F95" s="4"/>
      <c r="G95" s="4"/>
      <c r="H95" s="4"/>
      <c r="I95" s="4"/>
      <c r="J95" s="4"/>
      <c r="K95" s="4"/>
      <c r="L95" s="4"/>
      <c r="M95" s="4"/>
      <c r="N95" s="4"/>
      <c r="O95" s="4"/>
      <c r="P95" s="4"/>
      <c r="Q95" s="4"/>
      <c r="R95" s="135"/>
      <c r="S95" s="4"/>
      <c r="T95" s="4"/>
      <c r="U95" s="4"/>
      <c r="V95" s="4"/>
      <c r="W95" s="4"/>
      <c r="X95" s="4"/>
      <c r="Y95" s="4"/>
      <c r="Z95" s="4"/>
      <c r="AA95" s="4"/>
      <c r="AB95" s="5"/>
    </row>
    <row r="96" spans="1:28" x14ac:dyDescent="0.35">
      <c r="A96" s="3"/>
      <c r="B96" s="4"/>
      <c r="C96" s="4"/>
      <c r="D96" s="4"/>
      <c r="E96" s="4"/>
      <c r="F96" s="4"/>
      <c r="G96" s="4"/>
      <c r="H96" s="4"/>
      <c r="I96" s="4"/>
      <c r="J96" s="4"/>
      <c r="K96" s="4"/>
      <c r="L96" s="4"/>
      <c r="M96" s="4"/>
      <c r="N96" s="4"/>
      <c r="O96" s="4"/>
      <c r="P96" s="4"/>
      <c r="Q96" s="4"/>
      <c r="R96" s="135"/>
      <c r="S96" s="4"/>
      <c r="T96" s="4"/>
      <c r="U96" s="4"/>
      <c r="V96" s="4"/>
      <c r="W96" s="4"/>
      <c r="X96" s="4"/>
      <c r="Y96" s="4"/>
      <c r="Z96" s="4"/>
      <c r="AA96" s="4"/>
      <c r="AB96" s="5"/>
    </row>
    <row r="97" spans="1:28" x14ac:dyDescent="0.35">
      <c r="A97" s="3"/>
      <c r="B97" s="4"/>
      <c r="C97" s="4"/>
      <c r="D97" s="4"/>
      <c r="E97" s="4"/>
      <c r="F97" s="4"/>
      <c r="G97" s="4"/>
      <c r="H97" s="4"/>
      <c r="I97" s="4"/>
      <c r="J97" s="4"/>
      <c r="K97" s="4"/>
      <c r="L97" s="4"/>
      <c r="M97" s="4"/>
      <c r="N97" s="4"/>
      <c r="O97" s="4"/>
      <c r="P97" s="4"/>
      <c r="Q97" s="4"/>
      <c r="R97" s="135"/>
      <c r="S97" s="4"/>
      <c r="T97" s="4"/>
      <c r="U97" s="4"/>
      <c r="V97" s="4"/>
      <c r="W97" s="4"/>
      <c r="X97" s="4"/>
      <c r="Y97" s="4"/>
      <c r="Z97" s="4"/>
      <c r="AA97" s="4"/>
      <c r="AB97" s="5"/>
    </row>
    <row r="98" spans="1:28" x14ac:dyDescent="0.35">
      <c r="A98" s="3"/>
      <c r="B98" s="4"/>
      <c r="C98" s="4"/>
      <c r="D98" s="4"/>
      <c r="E98" s="4"/>
      <c r="F98" s="4"/>
      <c r="G98" s="4"/>
      <c r="H98" s="4"/>
      <c r="I98" s="4"/>
      <c r="J98" s="4"/>
      <c r="K98" s="4"/>
      <c r="L98" s="4"/>
      <c r="M98" s="4"/>
      <c r="N98" s="4"/>
      <c r="O98" s="4"/>
      <c r="P98" s="4"/>
      <c r="Q98" s="4"/>
      <c r="R98" s="135"/>
      <c r="S98" s="4"/>
      <c r="T98" s="4"/>
      <c r="U98" s="4"/>
      <c r="V98" s="4"/>
      <c r="W98" s="4"/>
      <c r="X98" s="4"/>
      <c r="Y98" s="4"/>
      <c r="Z98" s="4"/>
      <c r="AA98" s="4"/>
      <c r="AB98" s="5"/>
    </row>
    <row r="99" spans="1:28" x14ac:dyDescent="0.35">
      <c r="A99" s="3"/>
      <c r="B99" s="4"/>
      <c r="C99" s="4"/>
      <c r="D99" s="4"/>
      <c r="E99" s="4"/>
      <c r="F99" s="4"/>
      <c r="G99" s="4"/>
      <c r="H99" s="4"/>
      <c r="I99" s="4"/>
      <c r="J99" s="4"/>
      <c r="K99" s="4"/>
      <c r="L99" s="4"/>
      <c r="M99" s="4"/>
      <c r="N99" s="4"/>
      <c r="O99" s="4"/>
      <c r="P99" s="4"/>
      <c r="Q99" s="4"/>
      <c r="R99" s="135"/>
      <c r="S99" s="4"/>
      <c r="T99" s="4"/>
      <c r="U99" s="4"/>
      <c r="V99" s="4"/>
      <c r="W99" s="4"/>
      <c r="X99" s="4"/>
      <c r="Y99" s="4"/>
      <c r="Z99" s="4"/>
      <c r="AA99" s="4"/>
      <c r="AB99" s="5"/>
    </row>
    <row r="100" spans="1:28" x14ac:dyDescent="0.35">
      <c r="A100" s="3"/>
      <c r="B100" s="4"/>
      <c r="C100" s="4"/>
      <c r="D100" s="4"/>
      <c r="E100" s="4"/>
      <c r="F100" s="4"/>
      <c r="G100" s="4"/>
      <c r="H100" s="4"/>
      <c r="I100" s="4"/>
      <c r="J100" s="4"/>
      <c r="K100" s="4"/>
      <c r="L100" s="4"/>
      <c r="M100" s="4"/>
      <c r="N100" s="4"/>
      <c r="O100" s="4"/>
      <c r="P100" s="4"/>
      <c r="Q100" s="4"/>
      <c r="R100" s="135"/>
      <c r="S100" s="4"/>
      <c r="T100" s="4"/>
      <c r="U100" s="4"/>
      <c r="V100" s="4"/>
      <c r="W100" s="4"/>
      <c r="X100" s="4"/>
      <c r="Y100" s="4"/>
      <c r="Z100" s="4"/>
      <c r="AA100" s="4"/>
      <c r="AB100" s="5"/>
    </row>
    <row r="101" spans="1:28" x14ac:dyDescent="0.35">
      <c r="A101" s="3"/>
      <c r="B101" s="4"/>
      <c r="C101" s="4"/>
      <c r="D101" s="4"/>
      <c r="E101" s="4"/>
      <c r="F101" s="4"/>
      <c r="G101" s="4"/>
      <c r="H101" s="4"/>
      <c r="I101" s="4"/>
      <c r="J101" s="4"/>
      <c r="K101" s="4"/>
      <c r="L101" s="4"/>
      <c r="M101" s="4"/>
      <c r="N101" s="4"/>
      <c r="O101" s="4"/>
      <c r="P101" s="4"/>
      <c r="Q101" s="4"/>
      <c r="R101" s="135"/>
      <c r="S101" s="4"/>
      <c r="T101" s="4"/>
      <c r="U101" s="4"/>
      <c r="V101" s="4"/>
      <c r="W101" s="4"/>
      <c r="X101" s="4"/>
      <c r="Y101" s="4"/>
      <c r="Z101" s="4"/>
      <c r="AA101" s="4"/>
      <c r="AB101" s="5"/>
    </row>
    <row r="102" spans="1:28" x14ac:dyDescent="0.35">
      <c r="A102" s="3"/>
      <c r="B102" s="4"/>
      <c r="C102" s="4"/>
      <c r="D102" s="4"/>
      <c r="E102" s="4"/>
      <c r="F102" s="4"/>
      <c r="G102" s="4"/>
      <c r="H102" s="4"/>
      <c r="I102" s="4"/>
      <c r="J102" s="4"/>
      <c r="K102" s="4"/>
      <c r="L102" s="4"/>
      <c r="M102" s="4"/>
      <c r="N102" s="4"/>
      <c r="O102" s="4"/>
      <c r="P102" s="4"/>
      <c r="Q102" s="4"/>
      <c r="R102" s="135"/>
      <c r="S102" s="4"/>
      <c r="T102" s="4"/>
      <c r="U102" s="4"/>
      <c r="V102" s="4"/>
      <c r="W102" s="4"/>
      <c r="X102" s="4"/>
      <c r="Y102" s="4"/>
      <c r="Z102" s="4"/>
      <c r="AA102" s="4"/>
      <c r="AB102" s="5"/>
    </row>
    <row r="103" spans="1:28" x14ac:dyDescent="0.35">
      <c r="A103" s="3"/>
      <c r="B103" s="4"/>
      <c r="C103" s="4"/>
      <c r="D103" s="4"/>
      <c r="E103" s="4"/>
      <c r="F103" s="4"/>
      <c r="G103" s="4"/>
      <c r="H103" s="4"/>
      <c r="I103" s="4"/>
      <c r="J103" s="4"/>
      <c r="K103" s="4"/>
      <c r="L103" s="4"/>
      <c r="M103" s="4"/>
      <c r="N103" s="4"/>
      <c r="O103" s="4"/>
      <c r="P103" s="4"/>
      <c r="Q103" s="4"/>
      <c r="R103" s="135"/>
      <c r="S103" s="4"/>
      <c r="T103" s="4"/>
      <c r="U103" s="4"/>
      <c r="V103" s="4"/>
      <c r="W103" s="4"/>
      <c r="X103" s="4"/>
      <c r="Y103" s="4"/>
      <c r="Z103" s="4"/>
      <c r="AA103" s="4"/>
      <c r="AB103" s="5"/>
    </row>
    <row r="104" spans="1:28" x14ac:dyDescent="0.35">
      <c r="A104" s="3"/>
      <c r="B104" s="4"/>
      <c r="C104" s="4"/>
      <c r="D104" s="4"/>
      <c r="E104" s="4"/>
      <c r="F104" s="4"/>
      <c r="G104" s="4"/>
      <c r="H104" s="4"/>
      <c r="I104" s="4"/>
      <c r="J104" s="4"/>
      <c r="K104" s="4"/>
      <c r="L104" s="4"/>
      <c r="M104" s="4"/>
      <c r="N104" s="4"/>
      <c r="O104" s="4"/>
      <c r="P104" s="4"/>
      <c r="Q104" s="4"/>
      <c r="R104" s="135"/>
      <c r="S104" s="4"/>
      <c r="T104" s="4"/>
      <c r="U104" s="4"/>
      <c r="V104" s="4"/>
      <c r="W104" s="4"/>
      <c r="X104" s="4"/>
      <c r="Y104" s="4"/>
      <c r="Z104" s="4"/>
      <c r="AA104" s="4"/>
      <c r="AB104" s="5"/>
    </row>
    <row r="105" spans="1:28" x14ac:dyDescent="0.35">
      <c r="A105" s="3"/>
      <c r="B105" s="4"/>
      <c r="C105" s="4"/>
      <c r="D105" s="4"/>
      <c r="E105" s="4"/>
      <c r="F105" s="4"/>
      <c r="G105" s="4"/>
      <c r="H105" s="4"/>
      <c r="I105" s="4"/>
      <c r="J105" s="4"/>
      <c r="K105" s="4"/>
      <c r="L105" s="4"/>
      <c r="M105" s="4"/>
      <c r="N105" s="4"/>
      <c r="O105" s="4"/>
      <c r="P105" s="4"/>
      <c r="Q105" s="4"/>
      <c r="R105" s="135"/>
      <c r="S105" s="4"/>
      <c r="T105" s="4"/>
      <c r="U105" s="4"/>
      <c r="V105" s="4"/>
      <c r="W105" s="4"/>
      <c r="X105" s="4"/>
      <c r="Y105" s="4"/>
      <c r="Z105" s="4"/>
      <c r="AA105" s="4"/>
      <c r="AB105" s="5"/>
    </row>
    <row r="106" spans="1:28" x14ac:dyDescent="0.35">
      <c r="A106" s="3"/>
      <c r="B106" s="4"/>
      <c r="C106" s="4"/>
      <c r="D106" s="4"/>
      <c r="E106" s="4"/>
      <c r="F106" s="4"/>
      <c r="G106" s="4"/>
      <c r="H106" s="4"/>
      <c r="I106" s="4"/>
      <c r="J106" s="4"/>
      <c r="K106" s="4"/>
      <c r="L106" s="4"/>
      <c r="M106" s="4"/>
      <c r="N106" s="4"/>
      <c r="O106" s="4"/>
      <c r="P106" s="4"/>
      <c r="Q106" s="4"/>
      <c r="R106" s="135"/>
      <c r="S106" s="4"/>
      <c r="T106" s="4"/>
      <c r="U106" s="4"/>
      <c r="V106" s="4"/>
      <c r="W106" s="4"/>
      <c r="X106" s="4"/>
      <c r="Y106" s="4"/>
      <c r="Z106" s="4"/>
      <c r="AA106" s="4"/>
      <c r="AB106" s="5"/>
    </row>
    <row r="107" spans="1:28" x14ac:dyDescent="0.35">
      <c r="A107" s="3"/>
      <c r="B107" s="4"/>
      <c r="C107" s="4"/>
      <c r="D107" s="4"/>
      <c r="E107" s="4"/>
      <c r="F107" s="4"/>
      <c r="G107" s="4"/>
      <c r="H107" s="4"/>
      <c r="I107" s="4"/>
      <c r="J107" s="4"/>
      <c r="K107" s="4"/>
      <c r="L107" s="4"/>
      <c r="M107" s="4"/>
      <c r="N107" s="4"/>
      <c r="O107" s="4"/>
      <c r="P107" s="4"/>
      <c r="Q107" s="4"/>
      <c r="R107" s="135"/>
      <c r="S107" s="4"/>
      <c r="T107" s="4"/>
      <c r="U107" s="4"/>
      <c r="V107" s="4"/>
      <c r="W107" s="4"/>
      <c r="X107" s="4"/>
      <c r="Y107" s="4"/>
      <c r="Z107" s="4"/>
      <c r="AA107" s="4"/>
      <c r="AB107" s="5"/>
    </row>
    <row r="108" spans="1:28" x14ac:dyDescent="0.35">
      <c r="A108" s="3"/>
      <c r="B108" s="4"/>
      <c r="C108" s="4"/>
      <c r="D108" s="4"/>
      <c r="E108" s="4"/>
      <c r="F108" s="4"/>
      <c r="G108" s="4"/>
      <c r="H108" s="4"/>
      <c r="I108" s="4"/>
      <c r="J108" s="4"/>
      <c r="K108" s="4"/>
      <c r="L108" s="4"/>
      <c r="M108" s="4"/>
      <c r="N108" s="4"/>
      <c r="O108" s="4"/>
      <c r="P108" s="4"/>
      <c r="Q108" s="4"/>
      <c r="R108" s="135"/>
      <c r="S108" s="4"/>
      <c r="T108" s="4"/>
      <c r="U108" s="4"/>
      <c r="V108" s="4"/>
      <c r="W108" s="4"/>
      <c r="X108" s="4"/>
      <c r="Y108" s="4"/>
      <c r="Z108" s="4"/>
      <c r="AA108" s="4"/>
      <c r="AB108" s="5"/>
    </row>
    <row r="109" spans="1:28" x14ac:dyDescent="0.35">
      <c r="A109" s="3"/>
      <c r="B109" s="4"/>
      <c r="C109" s="4"/>
      <c r="D109" s="4"/>
      <c r="E109" s="4"/>
      <c r="F109" s="4"/>
      <c r="G109" s="4"/>
      <c r="H109" s="4"/>
      <c r="I109" s="4"/>
      <c r="J109" s="4"/>
      <c r="K109" s="4"/>
      <c r="L109" s="4"/>
      <c r="M109" s="4"/>
      <c r="N109" s="4"/>
      <c r="O109" s="4"/>
      <c r="P109" s="4"/>
      <c r="Q109" s="4"/>
      <c r="R109" s="135"/>
      <c r="S109" s="4"/>
      <c r="T109" s="4"/>
      <c r="U109" s="4"/>
      <c r="V109" s="4"/>
      <c r="W109" s="4"/>
      <c r="X109" s="4"/>
      <c r="Y109" s="4"/>
      <c r="Z109" s="4"/>
      <c r="AA109" s="4"/>
      <c r="AB109" s="5"/>
    </row>
    <row r="110" spans="1:28" x14ac:dyDescent="0.35">
      <c r="A110" s="3"/>
      <c r="B110" s="4"/>
      <c r="C110" s="4"/>
      <c r="D110" s="4"/>
      <c r="E110" s="4"/>
      <c r="F110" s="4"/>
      <c r="G110" s="4"/>
      <c r="H110" s="4"/>
      <c r="I110" s="4"/>
      <c r="J110" s="4"/>
      <c r="K110" s="4"/>
      <c r="L110" s="4"/>
      <c r="M110" s="4"/>
      <c r="N110" s="4"/>
      <c r="O110" s="4"/>
      <c r="P110" s="4"/>
      <c r="Q110" s="4"/>
      <c r="R110" s="135"/>
      <c r="S110" s="4"/>
      <c r="T110" s="4"/>
      <c r="U110" s="4"/>
      <c r="V110" s="4"/>
      <c r="W110" s="4"/>
      <c r="X110" s="4"/>
      <c r="Y110" s="4"/>
      <c r="Z110" s="4"/>
      <c r="AA110" s="4"/>
      <c r="AB110" s="5"/>
    </row>
    <row r="111" spans="1:28" x14ac:dyDescent="0.35">
      <c r="A111" s="3"/>
      <c r="B111" s="4"/>
      <c r="C111" s="4"/>
      <c r="D111" s="4"/>
      <c r="E111" s="4"/>
      <c r="F111" s="4"/>
      <c r="G111" s="4"/>
      <c r="H111" s="4"/>
      <c r="I111" s="4"/>
      <c r="J111" s="4"/>
      <c r="K111" s="4"/>
      <c r="L111" s="4"/>
      <c r="M111" s="4"/>
      <c r="N111" s="4"/>
      <c r="O111" s="4"/>
      <c r="P111" s="4"/>
      <c r="Q111" s="4"/>
      <c r="R111" s="135"/>
      <c r="S111" s="4"/>
      <c r="T111" s="4"/>
      <c r="U111" s="4"/>
      <c r="V111" s="4"/>
      <c r="W111" s="4"/>
      <c r="X111" s="4"/>
      <c r="Y111" s="4"/>
      <c r="Z111" s="4"/>
      <c r="AA111" s="4"/>
      <c r="AB111" s="5"/>
    </row>
    <row r="112" spans="1:28" x14ac:dyDescent="0.35">
      <c r="A112" s="3"/>
      <c r="B112" s="4"/>
      <c r="C112" s="4"/>
      <c r="D112" s="4"/>
      <c r="E112" s="4"/>
      <c r="F112" s="4"/>
      <c r="G112" s="4"/>
      <c r="H112" s="4"/>
      <c r="I112" s="4"/>
      <c r="J112" s="4"/>
      <c r="K112" s="4"/>
      <c r="L112" s="4"/>
      <c r="M112" s="4"/>
      <c r="N112" s="4"/>
      <c r="O112" s="4"/>
      <c r="P112" s="4"/>
      <c r="Q112" s="4"/>
      <c r="R112" s="135"/>
      <c r="S112" s="4"/>
      <c r="T112" s="4"/>
      <c r="U112" s="4"/>
      <c r="V112" s="4"/>
      <c r="W112" s="4"/>
      <c r="X112" s="4"/>
      <c r="Y112" s="4"/>
      <c r="Z112" s="4"/>
      <c r="AA112" s="4"/>
      <c r="AB112" s="5"/>
    </row>
    <row r="113" spans="1:28" x14ac:dyDescent="0.35">
      <c r="A113" s="3"/>
      <c r="B113" s="4"/>
      <c r="C113" s="4"/>
      <c r="D113" s="4"/>
      <c r="E113" s="4"/>
      <c r="F113" s="4"/>
      <c r="G113" s="4"/>
      <c r="H113" s="4"/>
      <c r="I113" s="4"/>
      <c r="J113" s="4"/>
      <c r="K113" s="4"/>
      <c r="L113" s="4"/>
      <c r="M113" s="4"/>
      <c r="N113" s="4"/>
      <c r="O113" s="4"/>
      <c r="P113" s="4"/>
      <c r="Q113" s="4"/>
      <c r="R113" s="135"/>
      <c r="S113" s="4"/>
      <c r="T113" s="4"/>
      <c r="U113" s="4"/>
      <c r="V113" s="4"/>
      <c r="W113" s="4"/>
      <c r="X113" s="4"/>
      <c r="Y113" s="4"/>
      <c r="Z113" s="4"/>
      <c r="AA113" s="4"/>
      <c r="AB113" s="5"/>
    </row>
    <row r="114" spans="1:28" x14ac:dyDescent="0.35">
      <c r="A114" s="3"/>
      <c r="B114" s="4"/>
      <c r="C114" s="4"/>
      <c r="D114" s="4"/>
      <c r="E114" s="4"/>
      <c r="F114" s="4"/>
      <c r="G114" s="4"/>
      <c r="H114" s="4"/>
      <c r="I114" s="4"/>
      <c r="J114" s="4"/>
      <c r="K114" s="4"/>
      <c r="L114" s="4"/>
      <c r="M114" s="4"/>
      <c r="N114" s="4"/>
      <c r="O114" s="4"/>
      <c r="P114" s="4"/>
      <c r="Q114" s="4"/>
      <c r="R114" s="135"/>
      <c r="S114" s="4"/>
      <c r="T114" s="4"/>
      <c r="U114" s="4"/>
      <c r="V114" s="4"/>
      <c r="W114" s="4"/>
      <c r="X114" s="4"/>
      <c r="Y114" s="4"/>
      <c r="Z114" s="4"/>
      <c r="AA114" s="4"/>
      <c r="AB114" s="5"/>
    </row>
    <row r="115" spans="1:28" x14ac:dyDescent="0.35">
      <c r="A115" s="3"/>
      <c r="B115" s="4"/>
      <c r="C115" s="4"/>
      <c r="D115" s="4"/>
      <c r="E115" s="4"/>
      <c r="F115" s="4"/>
      <c r="G115" s="4"/>
      <c r="H115" s="4"/>
      <c r="I115" s="4"/>
      <c r="J115" s="4"/>
      <c r="K115" s="4"/>
      <c r="L115" s="4"/>
      <c r="M115" s="4"/>
      <c r="N115" s="4"/>
      <c r="O115" s="4"/>
      <c r="P115" s="4"/>
      <c r="Q115" s="4"/>
      <c r="R115" s="135"/>
      <c r="S115" s="4"/>
      <c r="T115" s="4"/>
      <c r="U115" s="4"/>
      <c r="V115" s="4"/>
      <c r="W115" s="4"/>
      <c r="X115" s="4"/>
      <c r="Y115" s="4"/>
      <c r="Z115" s="4"/>
      <c r="AA115" s="4"/>
      <c r="AB115" s="5"/>
    </row>
    <row r="116" spans="1:28" x14ac:dyDescent="0.35">
      <c r="A116" s="3"/>
      <c r="B116" s="4"/>
      <c r="C116" s="4"/>
      <c r="D116" s="4"/>
      <c r="E116" s="4"/>
      <c r="F116" s="4"/>
      <c r="G116" s="4"/>
      <c r="H116" s="4"/>
      <c r="I116" s="4"/>
      <c r="J116" s="4"/>
      <c r="K116" s="4"/>
      <c r="L116" s="4"/>
      <c r="M116" s="4"/>
      <c r="N116" s="4"/>
      <c r="O116" s="4"/>
      <c r="P116" s="4"/>
      <c r="Q116" s="4"/>
      <c r="R116" s="135"/>
      <c r="S116" s="4"/>
      <c r="T116" s="4"/>
      <c r="U116" s="4"/>
      <c r="V116" s="4"/>
      <c r="W116" s="4"/>
      <c r="X116" s="4"/>
      <c r="Y116" s="4"/>
      <c r="Z116" s="4"/>
      <c r="AA116" s="4"/>
      <c r="AB116" s="5"/>
    </row>
    <row r="117" spans="1:28" x14ac:dyDescent="0.35">
      <c r="A117" s="3"/>
      <c r="B117" s="4"/>
      <c r="C117" s="4"/>
      <c r="D117" s="4"/>
      <c r="E117" s="4"/>
      <c r="F117" s="4"/>
      <c r="G117" s="4"/>
      <c r="H117" s="4"/>
      <c r="I117" s="4"/>
      <c r="J117" s="4"/>
      <c r="K117" s="4"/>
      <c r="L117" s="4"/>
      <c r="M117" s="4"/>
      <c r="N117" s="4"/>
      <c r="O117" s="4"/>
      <c r="P117" s="4"/>
      <c r="Q117" s="4"/>
      <c r="R117" s="135"/>
      <c r="S117" s="4"/>
      <c r="T117" s="4"/>
      <c r="U117" s="4"/>
      <c r="V117" s="4"/>
      <c r="W117" s="4"/>
      <c r="X117" s="4"/>
      <c r="Y117" s="4"/>
      <c r="Z117" s="4"/>
      <c r="AA117" s="4"/>
      <c r="AB117" s="5"/>
    </row>
    <row r="118" spans="1:28" x14ac:dyDescent="0.35">
      <c r="A118" s="3"/>
      <c r="B118" s="4"/>
      <c r="C118" s="4"/>
      <c r="D118" s="4"/>
      <c r="E118" s="4"/>
      <c r="F118" s="4"/>
      <c r="G118" s="4"/>
      <c r="H118" s="4"/>
      <c r="I118" s="4"/>
      <c r="J118" s="4"/>
      <c r="K118" s="4"/>
      <c r="L118" s="4"/>
      <c r="M118" s="4"/>
      <c r="N118" s="4"/>
      <c r="O118" s="4"/>
      <c r="P118" s="4"/>
      <c r="Q118" s="4"/>
      <c r="R118" s="135"/>
      <c r="S118" s="4"/>
      <c r="T118" s="4"/>
      <c r="U118" s="4"/>
      <c r="V118" s="4"/>
      <c r="W118" s="4"/>
      <c r="X118" s="4"/>
      <c r="Y118" s="4"/>
      <c r="Z118" s="4"/>
      <c r="AA118" s="4"/>
      <c r="AB118" s="5"/>
    </row>
    <row r="119" spans="1:28" x14ac:dyDescent="0.35">
      <c r="A119" s="3"/>
      <c r="B119" s="4"/>
      <c r="C119" s="4"/>
      <c r="D119" s="4"/>
      <c r="E119" s="4"/>
      <c r="F119" s="4"/>
      <c r="G119" s="4"/>
      <c r="H119" s="4"/>
      <c r="I119" s="4"/>
      <c r="J119" s="4"/>
      <c r="K119" s="4"/>
      <c r="L119" s="4"/>
      <c r="M119" s="4"/>
      <c r="N119" s="4"/>
      <c r="O119" s="4"/>
      <c r="P119" s="4"/>
      <c r="Q119" s="4"/>
      <c r="R119" s="135"/>
      <c r="S119" s="4"/>
      <c r="T119" s="4"/>
      <c r="U119" s="4"/>
      <c r="V119" s="4"/>
      <c r="W119" s="4"/>
      <c r="X119" s="4"/>
      <c r="Y119" s="4"/>
      <c r="Z119" s="4"/>
      <c r="AA119" s="4"/>
      <c r="AB119" s="5"/>
    </row>
    <row r="120" spans="1:28" x14ac:dyDescent="0.35">
      <c r="A120" s="3"/>
      <c r="B120" s="4"/>
      <c r="C120" s="4"/>
      <c r="D120" s="4"/>
      <c r="E120" s="4"/>
      <c r="F120" s="4"/>
      <c r="G120" s="4"/>
      <c r="H120" s="4"/>
      <c r="I120" s="4"/>
      <c r="J120" s="4"/>
      <c r="K120" s="4"/>
      <c r="L120" s="4"/>
      <c r="M120" s="4"/>
      <c r="N120" s="4"/>
      <c r="O120" s="4"/>
      <c r="P120" s="4"/>
      <c r="Q120" s="4"/>
      <c r="R120" s="135"/>
      <c r="S120" s="4"/>
      <c r="T120" s="4"/>
      <c r="U120" s="4"/>
      <c r="V120" s="4"/>
      <c r="W120" s="4"/>
      <c r="X120" s="4"/>
      <c r="Y120" s="4"/>
      <c r="Z120" s="4"/>
      <c r="AA120" s="4"/>
      <c r="AB120" s="5"/>
    </row>
    <row r="121" spans="1:28" x14ac:dyDescent="0.35">
      <c r="A121" s="3"/>
      <c r="B121" s="4"/>
      <c r="C121" s="4"/>
      <c r="D121" s="4"/>
      <c r="E121" s="4"/>
      <c r="F121" s="4"/>
      <c r="G121" s="4"/>
      <c r="H121" s="4"/>
      <c r="I121" s="4"/>
      <c r="J121" s="4"/>
      <c r="K121" s="4"/>
      <c r="L121" s="4"/>
      <c r="M121" s="4"/>
      <c r="N121" s="4"/>
      <c r="O121" s="4"/>
      <c r="P121" s="4"/>
      <c r="Q121" s="4"/>
      <c r="R121" s="135"/>
      <c r="S121" s="4"/>
      <c r="T121" s="4"/>
      <c r="U121" s="4"/>
      <c r="V121" s="4"/>
      <c r="W121" s="4"/>
      <c r="X121" s="4"/>
      <c r="Y121" s="4"/>
      <c r="Z121" s="4"/>
      <c r="AA121" s="4"/>
      <c r="AB121" s="5"/>
    </row>
    <row r="122" spans="1:28" x14ac:dyDescent="0.35">
      <c r="A122" s="3"/>
      <c r="B122" s="4"/>
      <c r="C122" s="4"/>
      <c r="D122" s="4"/>
      <c r="E122" s="4"/>
      <c r="F122" s="4"/>
      <c r="G122" s="4"/>
      <c r="H122" s="4"/>
      <c r="I122" s="4"/>
      <c r="J122" s="4"/>
      <c r="K122" s="4"/>
      <c r="L122" s="4"/>
      <c r="M122" s="4"/>
      <c r="N122" s="4"/>
      <c r="O122" s="4"/>
      <c r="P122" s="4"/>
      <c r="Q122" s="4"/>
      <c r="R122" s="135"/>
      <c r="S122" s="4"/>
      <c r="T122" s="4"/>
      <c r="U122" s="4"/>
      <c r="V122" s="4"/>
      <c r="W122" s="4"/>
      <c r="X122" s="4"/>
      <c r="Y122" s="4"/>
      <c r="Z122" s="4"/>
      <c r="AA122" s="4"/>
      <c r="AB122" s="5"/>
    </row>
    <row r="123" spans="1:28" x14ac:dyDescent="0.35">
      <c r="A123" s="3"/>
      <c r="B123" s="4"/>
      <c r="C123" s="4"/>
      <c r="D123" s="4"/>
      <c r="E123" s="4"/>
      <c r="F123" s="4"/>
      <c r="G123" s="4"/>
      <c r="H123" s="4"/>
      <c r="I123" s="4"/>
      <c r="J123" s="4"/>
      <c r="K123" s="4"/>
      <c r="L123" s="4"/>
      <c r="M123" s="4"/>
      <c r="N123" s="4"/>
      <c r="O123" s="4"/>
      <c r="P123" s="4"/>
      <c r="Q123" s="4"/>
      <c r="R123" s="135"/>
      <c r="S123" s="4"/>
      <c r="T123" s="4"/>
      <c r="U123" s="4"/>
      <c r="V123" s="4"/>
      <c r="W123" s="4"/>
      <c r="X123" s="4"/>
      <c r="Y123" s="4"/>
      <c r="Z123" s="4"/>
      <c r="AA123" s="4"/>
      <c r="AB123" s="5"/>
    </row>
    <row r="124" spans="1:28" x14ac:dyDescent="0.35">
      <c r="A124" s="3"/>
      <c r="B124" s="4"/>
      <c r="C124" s="4"/>
      <c r="D124" s="4"/>
      <c r="E124" s="4"/>
      <c r="F124" s="4"/>
      <c r="G124" s="4"/>
      <c r="H124" s="4"/>
      <c r="I124" s="4"/>
      <c r="J124" s="4"/>
      <c r="K124" s="4"/>
      <c r="L124" s="4"/>
      <c r="M124" s="4"/>
      <c r="N124" s="4"/>
      <c r="O124" s="4"/>
      <c r="P124" s="4"/>
      <c r="Q124" s="4"/>
      <c r="R124" s="135"/>
      <c r="S124" s="4"/>
      <c r="T124" s="4"/>
      <c r="U124" s="4"/>
      <c r="V124" s="4"/>
      <c r="W124" s="4"/>
      <c r="X124" s="4"/>
      <c r="Y124" s="4"/>
      <c r="Z124" s="4"/>
      <c r="AA124" s="4"/>
      <c r="AB124" s="5"/>
    </row>
    <row r="125" spans="1:28" x14ac:dyDescent="0.35">
      <c r="A125" s="3"/>
      <c r="B125" s="4"/>
      <c r="C125" s="4"/>
      <c r="D125" s="4"/>
      <c r="E125" s="4"/>
      <c r="F125" s="4"/>
      <c r="G125" s="4"/>
      <c r="H125" s="4"/>
      <c r="I125" s="4"/>
      <c r="J125" s="4"/>
      <c r="K125" s="4"/>
      <c r="L125" s="4"/>
      <c r="M125" s="4"/>
      <c r="N125" s="4"/>
      <c r="O125" s="4"/>
      <c r="P125" s="4"/>
      <c r="Q125" s="4"/>
      <c r="R125" s="135"/>
      <c r="S125" s="4"/>
      <c r="T125" s="4"/>
      <c r="U125" s="4"/>
      <c r="V125" s="4"/>
      <c r="W125" s="4"/>
      <c r="X125" s="4"/>
      <c r="Y125" s="4"/>
      <c r="Z125" s="4"/>
      <c r="AA125" s="4"/>
      <c r="AB125" s="5"/>
    </row>
    <row r="126" spans="1:28" x14ac:dyDescent="0.35">
      <c r="A126" s="3"/>
      <c r="B126" s="4"/>
      <c r="C126" s="4"/>
      <c r="D126" s="4"/>
      <c r="E126" s="4"/>
      <c r="F126" s="4"/>
      <c r="G126" s="4"/>
      <c r="H126" s="4"/>
      <c r="I126" s="4"/>
      <c r="J126" s="4"/>
      <c r="K126" s="4"/>
      <c r="L126" s="4"/>
      <c r="M126" s="4"/>
      <c r="N126" s="4"/>
      <c r="O126" s="4"/>
      <c r="P126" s="4"/>
      <c r="Q126" s="4"/>
      <c r="R126" s="135"/>
      <c r="S126" s="4"/>
      <c r="T126" s="4"/>
      <c r="U126" s="4"/>
      <c r="V126" s="4"/>
      <c r="W126" s="4"/>
      <c r="X126" s="4"/>
      <c r="Y126" s="4"/>
      <c r="Z126" s="4"/>
      <c r="AA126" s="4"/>
      <c r="AB126" s="5"/>
    </row>
    <row r="127" spans="1:28" x14ac:dyDescent="0.35">
      <c r="A127" s="3"/>
      <c r="B127" s="4"/>
      <c r="C127" s="4"/>
      <c r="D127" s="4"/>
      <c r="E127" s="4"/>
      <c r="F127" s="4"/>
      <c r="G127" s="4"/>
      <c r="H127" s="4"/>
      <c r="I127" s="4"/>
      <c r="J127" s="4"/>
      <c r="K127" s="4"/>
      <c r="L127" s="4"/>
      <c r="M127" s="4"/>
      <c r="N127" s="4"/>
      <c r="O127" s="4"/>
      <c r="P127" s="4"/>
      <c r="Q127" s="4"/>
      <c r="R127" s="135"/>
      <c r="S127" s="4"/>
      <c r="T127" s="4"/>
      <c r="U127" s="4"/>
      <c r="V127" s="4"/>
      <c r="W127" s="4"/>
      <c r="X127" s="4"/>
      <c r="Y127" s="4"/>
      <c r="Z127" s="4"/>
      <c r="AA127" s="4"/>
      <c r="AB127" s="5"/>
    </row>
    <row r="128" spans="1:28" x14ac:dyDescent="0.35">
      <c r="A128" s="3"/>
      <c r="B128" s="4"/>
      <c r="C128" s="4"/>
      <c r="D128" s="4"/>
      <c r="E128" s="4"/>
      <c r="F128" s="4"/>
      <c r="G128" s="4"/>
      <c r="H128" s="4"/>
      <c r="I128" s="4"/>
      <c r="J128" s="4"/>
      <c r="K128" s="4"/>
      <c r="L128" s="4"/>
      <c r="M128" s="4"/>
      <c r="N128" s="4"/>
      <c r="O128" s="4"/>
      <c r="P128" s="4"/>
      <c r="Q128" s="4"/>
      <c r="R128" s="135"/>
      <c r="S128" s="4"/>
      <c r="T128" s="4"/>
      <c r="U128" s="4"/>
      <c r="V128" s="4"/>
      <c r="W128" s="4"/>
      <c r="X128" s="4"/>
      <c r="Y128" s="4"/>
      <c r="Z128" s="4"/>
      <c r="AA128" s="4"/>
      <c r="AB128" s="5"/>
    </row>
    <row r="129" spans="1:28" x14ac:dyDescent="0.35">
      <c r="A129" s="3"/>
      <c r="B129" s="4"/>
      <c r="C129" s="4"/>
      <c r="D129" s="4"/>
      <c r="E129" s="4"/>
      <c r="F129" s="4"/>
      <c r="G129" s="4"/>
      <c r="H129" s="4"/>
      <c r="I129" s="4"/>
      <c r="J129" s="4"/>
      <c r="K129" s="4"/>
      <c r="L129" s="4"/>
      <c r="M129" s="4"/>
      <c r="N129" s="4"/>
      <c r="O129" s="4"/>
      <c r="P129" s="4"/>
      <c r="Q129" s="4"/>
      <c r="R129" s="135"/>
      <c r="S129" s="4"/>
      <c r="T129" s="4"/>
      <c r="U129" s="4"/>
      <c r="V129" s="4"/>
      <c r="W129" s="4"/>
      <c r="X129" s="4"/>
      <c r="Y129" s="4"/>
      <c r="Z129" s="4"/>
      <c r="AA129" s="4"/>
      <c r="AB129" s="5"/>
    </row>
    <row r="130" spans="1:28" x14ac:dyDescent="0.35">
      <c r="A130" s="3"/>
      <c r="B130" s="4"/>
      <c r="C130" s="4"/>
      <c r="D130" s="4"/>
      <c r="E130" s="4"/>
      <c r="F130" s="4"/>
      <c r="G130" s="4"/>
      <c r="H130" s="4"/>
      <c r="I130" s="4"/>
      <c r="J130" s="4"/>
      <c r="K130" s="4"/>
      <c r="L130" s="4"/>
      <c r="M130" s="4"/>
      <c r="N130" s="4"/>
      <c r="O130" s="4"/>
      <c r="P130" s="4"/>
      <c r="Q130" s="4"/>
      <c r="R130" s="135"/>
      <c r="S130" s="4"/>
      <c r="T130" s="4"/>
      <c r="U130" s="4"/>
      <c r="V130" s="4"/>
      <c r="W130" s="4"/>
      <c r="X130" s="4"/>
      <c r="Y130" s="4"/>
      <c r="Z130" s="4"/>
      <c r="AA130" s="4"/>
      <c r="AB130" s="5"/>
    </row>
    <row r="131" spans="1:28" x14ac:dyDescent="0.35">
      <c r="A131" s="3"/>
      <c r="B131" s="4"/>
      <c r="C131" s="4"/>
      <c r="D131" s="4"/>
      <c r="E131" s="4"/>
      <c r="F131" s="4"/>
      <c r="G131" s="4"/>
      <c r="H131" s="4"/>
      <c r="I131" s="4"/>
      <c r="J131" s="4"/>
      <c r="K131" s="4"/>
      <c r="L131" s="4"/>
      <c r="M131" s="4"/>
      <c r="N131" s="4"/>
      <c r="O131" s="4"/>
      <c r="P131" s="4"/>
      <c r="Q131" s="4"/>
      <c r="R131" s="135"/>
      <c r="S131" s="4"/>
      <c r="T131" s="4"/>
      <c r="U131" s="4"/>
      <c r="V131" s="4"/>
      <c r="W131" s="4"/>
      <c r="X131" s="4"/>
      <c r="Y131" s="4"/>
      <c r="Z131" s="4"/>
      <c r="AA131" s="4"/>
      <c r="AB131" s="5"/>
    </row>
    <row r="132" spans="1:28" x14ac:dyDescent="0.35">
      <c r="A132" s="3"/>
      <c r="B132" s="4"/>
      <c r="C132" s="4"/>
      <c r="D132" s="4"/>
      <c r="E132" s="4"/>
      <c r="F132" s="4"/>
      <c r="G132" s="4"/>
      <c r="H132" s="4"/>
      <c r="I132" s="4"/>
      <c r="J132" s="4"/>
      <c r="K132" s="4"/>
      <c r="L132" s="4"/>
      <c r="M132" s="4"/>
      <c r="N132" s="4"/>
      <c r="O132" s="4"/>
      <c r="P132" s="4"/>
      <c r="Q132" s="4"/>
      <c r="R132" s="135"/>
      <c r="S132" s="4"/>
      <c r="T132" s="4"/>
      <c r="U132" s="4"/>
      <c r="V132" s="4"/>
      <c r="W132" s="4"/>
      <c r="X132" s="4"/>
      <c r="Y132" s="4"/>
      <c r="Z132" s="4"/>
      <c r="AA132" s="4"/>
      <c r="AB132" s="5"/>
    </row>
    <row r="133" spans="1:28" x14ac:dyDescent="0.35">
      <c r="A133" s="3"/>
      <c r="B133" s="4"/>
      <c r="C133" s="4"/>
      <c r="D133" s="4"/>
      <c r="E133" s="4"/>
      <c r="F133" s="4"/>
      <c r="G133" s="4"/>
      <c r="H133" s="4"/>
      <c r="I133" s="4"/>
      <c r="J133" s="4"/>
      <c r="K133" s="4"/>
      <c r="L133" s="4"/>
      <c r="M133" s="4"/>
      <c r="N133" s="4"/>
      <c r="O133" s="4"/>
      <c r="P133" s="4"/>
      <c r="Q133" s="4"/>
      <c r="R133" s="135"/>
      <c r="S133" s="4"/>
      <c r="T133" s="4"/>
      <c r="U133" s="4"/>
      <c r="V133" s="4"/>
      <c r="W133" s="4"/>
      <c r="X133" s="4"/>
      <c r="Y133" s="4"/>
      <c r="Z133" s="4"/>
      <c r="AA133" s="4"/>
      <c r="AB133" s="5"/>
    </row>
    <row r="134" spans="1:28" x14ac:dyDescent="0.35">
      <c r="A134" s="3"/>
      <c r="B134" s="4"/>
      <c r="C134" s="4"/>
      <c r="D134" s="4"/>
      <c r="E134" s="4"/>
      <c r="F134" s="4"/>
      <c r="G134" s="4"/>
      <c r="H134" s="4"/>
      <c r="I134" s="4"/>
      <c r="J134" s="4"/>
      <c r="K134" s="4"/>
      <c r="L134" s="4"/>
      <c r="M134" s="4"/>
      <c r="N134" s="4"/>
      <c r="O134" s="4"/>
      <c r="P134" s="4"/>
      <c r="Q134" s="4"/>
      <c r="R134" s="135"/>
      <c r="S134" s="4"/>
      <c r="T134" s="4"/>
      <c r="U134" s="4"/>
      <c r="V134" s="4"/>
      <c r="W134" s="4"/>
      <c r="X134" s="4"/>
      <c r="Y134" s="4"/>
      <c r="Z134" s="4"/>
      <c r="AA134" s="4"/>
      <c r="AB134" s="5"/>
    </row>
    <row r="135" spans="1:28" x14ac:dyDescent="0.35">
      <c r="A135" s="3"/>
      <c r="B135" s="4"/>
      <c r="C135" s="4"/>
      <c r="D135" s="4"/>
      <c r="E135" s="4"/>
      <c r="F135" s="4"/>
      <c r="G135" s="4"/>
      <c r="H135" s="4"/>
      <c r="I135" s="4"/>
      <c r="J135" s="4"/>
      <c r="K135" s="4"/>
      <c r="L135" s="4"/>
      <c r="M135" s="4"/>
      <c r="N135" s="4"/>
      <c r="O135" s="4"/>
      <c r="P135" s="4"/>
      <c r="Q135" s="4"/>
      <c r="R135" s="135"/>
      <c r="S135" s="4"/>
      <c r="T135" s="4"/>
      <c r="U135" s="4"/>
      <c r="V135" s="4"/>
      <c r="W135" s="4"/>
      <c r="X135" s="4"/>
      <c r="Y135" s="4"/>
      <c r="Z135" s="4"/>
      <c r="AA135" s="4"/>
      <c r="AB135" s="5"/>
    </row>
    <row r="136" spans="1:28" x14ac:dyDescent="0.35">
      <c r="A136" s="3"/>
      <c r="B136" s="4"/>
      <c r="C136" s="4"/>
      <c r="D136" s="4"/>
      <c r="E136" s="4"/>
      <c r="F136" s="4"/>
      <c r="G136" s="4"/>
      <c r="H136" s="4"/>
      <c r="I136" s="4"/>
      <c r="J136" s="4"/>
      <c r="K136" s="4"/>
      <c r="L136" s="4"/>
      <c r="M136" s="4"/>
      <c r="N136" s="4"/>
      <c r="O136" s="4"/>
      <c r="P136" s="4"/>
      <c r="Q136" s="4"/>
      <c r="R136" s="135"/>
      <c r="S136" s="4"/>
      <c r="T136" s="4"/>
      <c r="U136" s="4"/>
      <c r="V136" s="4"/>
      <c r="W136" s="4"/>
      <c r="X136" s="4"/>
      <c r="Y136" s="4"/>
      <c r="Z136" s="4"/>
      <c r="AA136" s="4"/>
      <c r="AB136" s="5"/>
    </row>
    <row r="137" spans="1:28" x14ac:dyDescent="0.35">
      <c r="A137" s="3"/>
      <c r="B137" s="4"/>
      <c r="C137" s="4"/>
      <c r="D137" s="4"/>
      <c r="E137" s="4"/>
      <c r="F137" s="4"/>
      <c r="G137" s="4"/>
      <c r="H137" s="4"/>
      <c r="I137" s="4"/>
      <c r="J137" s="4"/>
      <c r="K137" s="4"/>
      <c r="L137" s="4"/>
      <c r="M137" s="4"/>
      <c r="N137" s="4"/>
      <c r="O137" s="4"/>
      <c r="P137" s="4"/>
      <c r="Q137" s="4"/>
      <c r="R137" s="135"/>
      <c r="S137" s="4"/>
      <c r="T137" s="4"/>
      <c r="U137" s="4"/>
      <c r="V137" s="4"/>
      <c r="W137" s="4"/>
      <c r="X137" s="4"/>
      <c r="Y137" s="4"/>
      <c r="Z137" s="4"/>
      <c r="AA137" s="4"/>
      <c r="AB137" s="5"/>
    </row>
    <row r="138" spans="1:28" x14ac:dyDescent="0.35">
      <c r="A138" s="3"/>
      <c r="B138" s="4"/>
      <c r="C138" s="4"/>
      <c r="D138" s="4"/>
      <c r="E138" s="4"/>
      <c r="F138" s="4"/>
      <c r="G138" s="4"/>
      <c r="H138" s="4"/>
      <c r="I138" s="4"/>
      <c r="J138" s="4"/>
      <c r="K138" s="4"/>
      <c r="L138" s="4"/>
      <c r="M138" s="4"/>
      <c r="N138" s="4"/>
      <c r="O138" s="4"/>
      <c r="P138" s="4"/>
      <c r="Q138" s="4"/>
      <c r="R138" s="135"/>
      <c r="S138" s="4"/>
      <c r="T138" s="4"/>
      <c r="U138" s="4"/>
      <c r="V138" s="4"/>
      <c r="W138" s="4"/>
      <c r="X138" s="4"/>
      <c r="Y138" s="4"/>
      <c r="Z138" s="4"/>
      <c r="AA138" s="4"/>
      <c r="AB138" s="5"/>
    </row>
    <row r="139" spans="1:28" x14ac:dyDescent="0.35">
      <c r="A139" s="3"/>
      <c r="B139" s="4"/>
      <c r="C139" s="4"/>
      <c r="D139" s="4"/>
      <c r="E139" s="4"/>
      <c r="F139" s="4"/>
      <c r="G139" s="4"/>
      <c r="H139" s="4"/>
      <c r="I139" s="4"/>
      <c r="J139" s="4"/>
      <c r="K139" s="4"/>
      <c r="L139" s="4"/>
      <c r="M139" s="4"/>
      <c r="N139" s="4"/>
      <c r="O139" s="4"/>
      <c r="P139" s="4"/>
      <c r="Q139" s="4"/>
      <c r="R139" s="135"/>
      <c r="S139" s="4"/>
      <c r="T139" s="4"/>
      <c r="U139" s="4"/>
      <c r="V139" s="4"/>
      <c r="W139" s="4"/>
      <c r="X139" s="4"/>
      <c r="Y139" s="4"/>
      <c r="Z139" s="4"/>
      <c r="AA139" s="4"/>
      <c r="AB139" s="5"/>
    </row>
    <row r="140" spans="1:28" x14ac:dyDescent="0.35">
      <c r="A140" s="3"/>
      <c r="B140" s="4"/>
      <c r="C140" s="4"/>
      <c r="D140" s="4"/>
      <c r="E140" s="4"/>
      <c r="F140" s="4"/>
      <c r="G140" s="4"/>
      <c r="H140" s="4"/>
      <c r="I140" s="4"/>
      <c r="J140" s="4"/>
      <c r="K140" s="4"/>
      <c r="L140" s="4"/>
      <c r="M140" s="4"/>
      <c r="N140" s="4"/>
      <c r="O140" s="4"/>
      <c r="P140" s="4"/>
      <c r="Q140" s="4"/>
      <c r="R140" s="135"/>
      <c r="S140" s="4"/>
      <c r="T140" s="4"/>
      <c r="U140" s="4"/>
      <c r="V140" s="4"/>
      <c r="W140" s="4"/>
      <c r="X140" s="4"/>
      <c r="Y140" s="4"/>
      <c r="Z140" s="4"/>
      <c r="AA140" s="4"/>
      <c r="AB140" s="5"/>
    </row>
    <row r="141" spans="1:28" x14ac:dyDescent="0.35">
      <c r="A141" s="3"/>
      <c r="B141" s="4"/>
      <c r="C141" s="4"/>
      <c r="D141" s="4"/>
      <c r="E141" s="4"/>
      <c r="F141" s="4"/>
      <c r="G141" s="4"/>
      <c r="H141" s="4"/>
      <c r="I141" s="4"/>
      <c r="J141" s="4"/>
      <c r="K141" s="4"/>
      <c r="L141" s="4"/>
      <c r="M141" s="4"/>
      <c r="N141" s="4"/>
      <c r="O141" s="4"/>
      <c r="P141" s="4"/>
      <c r="Q141" s="4"/>
      <c r="R141" s="135"/>
      <c r="S141" s="4"/>
      <c r="T141" s="4"/>
      <c r="U141" s="4"/>
      <c r="V141" s="4"/>
      <c r="W141" s="4"/>
      <c r="X141" s="4"/>
      <c r="Y141" s="4"/>
      <c r="Z141" s="4"/>
      <c r="AA141" s="4"/>
      <c r="AB141" s="5"/>
    </row>
    <row r="142" spans="1:28" x14ac:dyDescent="0.35">
      <c r="A142" s="3"/>
      <c r="B142" s="4"/>
      <c r="C142" s="4"/>
      <c r="D142" s="4"/>
      <c r="E142" s="4"/>
      <c r="F142" s="4"/>
      <c r="G142" s="4"/>
      <c r="H142" s="4"/>
      <c r="I142" s="4"/>
      <c r="J142" s="4"/>
      <c r="K142" s="4"/>
      <c r="L142" s="4"/>
      <c r="M142" s="4"/>
      <c r="N142" s="4"/>
      <c r="O142" s="4"/>
      <c r="P142" s="4"/>
      <c r="Q142" s="4"/>
      <c r="R142" s="135"/>
      <c r="S142" s="4"/>
      <c r="T142" s="4"/>
      <c r="U142" s="4"/>
      <c r="V142" s="4"/>
      <c r="W142" s="4"/>
      <c r="X142" s="4"/>
      <c r="Y142" s="4"/>
      <c r="Z142" s="4"/>
      <c r="AA142" s="4"/>
      <c r="AB142" s="5"/>
    </row>
    <row r="143" spans="1:28" x14ac:dyDescent="0.35">
      <c r="A143" s="3"/>
      <c r="B143" s="4"/>
      <c r="C143" s="4"/>
      <c r="D143" s="4"/>
      <c r="E143" s="4"/>
      <c r="F143" s="4"/>
      <c r="G143" s="4"/>
      <c r="H143" s="4"/>
      <c r="I143" s="4"/>
      <c r="J143" s="4"/>
      <c r="K143" s="4"/>
      <c r="L143" s="4"/>
      <c r="M143" s="4"/>
      <c r="N143" s="4"/>
      <c r="O143" s="4"/>
      <c r="P143" s="4"/>
      <c r="Q143" s="4"/>
      <c r="R143" s="135"/>
      <c r="S143" s="4"/>
      <c r="T143" s="4"/>
      <c r="U143" s="4"/>
      <c r="V143" s="4"/>
      <c r="W143" s="4"/>
      <c r="X143" s="4"/>
      <c r="Y143" s="4"/>
      <c r="Z143" s="4"/>
      <c r="AA143" s="4"/>
      <c r="AB143" s="5"/>
    </row>
    <row r="144" spans="1:28" x14ac:dyDescent="0.35">
      <c r="A144" s="3"/>
      <c r="B144" s="4"/>
      <c r="C144" s="4"/>
      <c r="D144" s="4"/>
      <c r="E144" s="4"/>
      <c r="F144" s="4"/>
      <c r="G144" s="4"/>
      <c r="H144" s="4"/>
      <c r="I144" s="4"/>
      <c r="J144" s="4"/>
      <c r="K144" s="4"/>
      <c r="L144" s="4"/>
      <c r="M144" s="4"/>
      <c r="N144" s="4"/>
      <c r="O144" s="4"/>
      <c r="P144" s="4"/>
      <c r="Q144" s="4"/>
      <c r="R144" s="135"/>
      <c r="S144" s="4"/>
      <c r="T144" s="4"/>
      <c r="U144" s="4"/>
      <c r="V144" s="4"/>
      <c r="W144" s="4"/>
      <c r="X144" s="4"/>
      <c r="Y144" s="4"/>
      <c r="Z144" s="4"/>
      <c r="AA144" s="4"/>
      <c r="AB144" s="5"/>
    </row>
    <row r="145" spans="1:28" x14ac:dyDescent="0.35">
      <c r="A145" s="3"/>
      <c r="B145" s="4"/>
      <c r="C145" s="4"/>
      <c r="D145" s="4"/>
      <c r="E145" s="4"/>
      <c r="F145" s="4"/>
      <c r="G145" s="4"/>
      <c r="H145" s="4"/>
      <c r="I145" s="4"/>
      <c r="J145" s="4"/>
      <c r="K145" s="4"/>
      <c r="L145" s="4"/>
      <c r="M145" s="4"/>
      <c r="N145" s="4"/>
      <c r="O145" s="4"/>
      <c r="P145" s="4"/>
      <c r="Q145" s="4"/>
      <c r="R145" s="135"/>
      <c r="S145" s="4"/>
      <c r="T145" s="4"/>
      <c r="U145" s="4"/>
      <c r="V145" s="4"/>
      <c r="W145" s="4"/>
      <c r="X145" s="4"/>
      <c r="Y145" s="4"/>
      <c r="Z145" s="4"/>
      <c r="AA145" s="4"/>
      <c r="AB145" s="5"/>
    </row>
    <row r="146" spans="1:28" x14ac:dyDescent="0.35">
      <c r="A146" s="3"/>
      <c r="B146" s="4"/>
      <c r="C146" s="4"/>
      <c r="D146" s="4"/>
      <c r="E146" s="4"/>
      <c r="F146" s="4"/>
      <c r="G146" s="4"/>
      <c r="H146" s="4"/>
      <c r="I146" s="4"/>
      <c r="J146" s="4"/>
      <c r="K146" s="4"/>
      <c r="L146" s="4"/>
      <c r="M146" s="4"/>
      <c r="N146" s="4"/>
      <c r="O146" s="4"/>
      <c r="P146" s="4"/>
      <c r="Q146" s="4"/>
      <c r="R146" s="135"/>
      <c r="S146" s="4"/>
      <c r="T146" s="4"/>
      <c r="U146" s="4"/>
      <c r="V146" s="4"/>
      <c r="W146" s="4"/>
      <c r="X146" s="4"/>
      <c r="Y146" s="4"/>
      <c r="Z146" s="4"/>
      <c r="AA146" s="4"/>
      <c r="AB146" s="5"/>
    </row>
    <row r="147" spans="1:28" x14ac:dyDescent="0.35">
      <c r="A147" s="3"/>
      <c r="B147" s="4"/>
      <c r="C147" s="4"/>
      <c r="D147" s="4"/>
      <c r="E147" s="4"/>
      <c r="F147" s="4"/>
      <c r="G147" s="4"/>
      <c r="H147" s="4"/>
      <c r="I147" s="4"/>
      <c r="J147" s="4"/>
      <c r="K147" s="4"/>
      <c r="L147" s="4"/>
      <c r="M147" s="4"/>
      <c r="N147" s="4"/>
      <c r="O147" s="4"/>
      <c r="P147" s="4"/>
      <c r="Q147" s="4"/>
      <c r="R147" s="135"/>
      <c r="S147" s="4"/>
      <c r="T147" s="4"/>
      <c r="U147" s="4"/>
      <c r="V147" s="4"/>
      <c r="W147" s="4"/>
      <c r="X147" s="4"/>
      <c r="Y147" s="4"/>
      <c r="Z147" s="4"/>
      <c r="AA147" s="4"/>
      <c r="AB147" s="5"/>
    </row>
    <row r="148" spans="1:28" x14ac:dyDescent="0.35">
      <c r="A148" s="3"/>
      <c r="B148" s="4"/>
      <c r="C148" s="4"/>
      <c r="D148" s="4"/>
      <c r="E148" s="4"/>
      <c r="F148" s="4"/>
      <c r="G148" s="4"/>
      <c r="H148" s="4"/>
      <c r="I148" s="4"/>
      <c r="J148" s="4"/>
      <c r="K148" s="4"/>
      <c r="L148" s="4"/>
      <c r="M148" s="4"/>
      <c r="N148" s="4"/>
      <c r="O148" s="4"/>
      <c r="P148" s="4"/>
      <c r="Q148" s="4"/>
      <c r="R148" s="135"/>
      <c r="S148" s="4"/>
      <c r="T148" s="4"/>
      <c r="U148" s="4"/>
      <c r="V148" s="4"/>
      <c r="W148" s="4"/>
      <c r="X148" s="4"/>
      <c r="Y148" s="4"/>
      <c r="Z148" s="4"/>
      <c r="AA148" s="4"/>
      <c r="AB148" s="5"/>
    </row>
    <row r="149" spans="1:28" x14ac:dyDescent="0.35">
      <c r="A149" s="3"/>
      <c r="B149" s="4"/>
      <c r="C149" s="4"/>
      <c r="D149" s="4"/>
      <c r="E149" s="4"/>
      <c r="F149" s="4"/>
      <c r="G149" s="4"/>
      <c r="H149" s="4"/>
      <c r="I149" s="4"/>
      <c r="J149" s="4"/>
      <c r="K149" s="4"/>
      <c r="L149" s="4"/>
      <c r="M149" s="4"/>
      <c r="N149" s="4"/>
      <c r="O149" s="4"/>
      <c r="P149" s="4"/>
      <c r="Q149" s="4"/>
      <c r="R149" s="135"/>
      <c r="S149" s="4"/>
      <c r="T149" s="4"/>
      <c r="U149" s="4"/>
      <c r="V149" s="4"/>
      <c r="W149" s="4"/>
      <c r="X149" s="4"/>
      <c r="Y149" s="4"/>
      <c r="Z149" s="4"/>
      <c r="AA149" s="4"/>
      <c r="AB149" s="5"/>
    </row>
    <row r="150" spans="1:28" x14ac:dyDescent="0.35">
      <c r="A150" s="3"/>
      <c r="B150" s="4"/>
      <c r="C150" s="4"/>
      <c r="D150" s="4"/>
      <c r="E150" s="4"/>
      <c r="F150" s="4"/>
      <c r="G150" s="4"/>
      <c r="H150" s="4"/>
      <c r="I150" s="4"/>
      <c r="J150" s="4"/>
      <c r="K150" s="4"/>
      <c r="L150" s="4"/>
      <c r="M150" s="4"/>
      <c r="N150" s="4"/>
      <c r="O150" s="4"/>
      <c r="P150" s="4"/>
      <c r="Q150" s="4"/>
      <c r="R150" s="135"/>
      <c r="S150" s="4"/>
      <c r="T150" s="4"/>
      <c r="U150" s="4"/>
      <c r="V150" s="4"/>
      <c r="W150" s="4"/>
      <c r="X150" s="4"/>
      <c r="Y150" s="4"/>
      <c r="Z150" s="4"/>
      <c r="AA150" s="4"/>
      <c r="AB150" s="5"/>
    </row>
    <row r="151" spans="1:28" x14ac:dyDescent="0.35">
      <c r="A151" s="3"/>
      <c r="B151" s="4"/>
      <c r="C151" s="4"/>
      <c r="D151" s="4"/>
      <c r="E151" s="4"/>
      <c r="F151" s="4"/>
      <c r="G151" s="4"/>
      <c r="H151" s="4"/>
      <c r="I151" s="4"/>
      <c r="J151" s="4"/>
      <c r="K151" s="4"/>
      <c r="L151" s="4"/>
      <c r="M151" s="4"/>
      <c r="N151" s="4"/>
      <c r="O151" s="4"/>
      <c r="P151" s="4"/>
      <c r="Q151" s="4"/>
      <c r="R151" s="135"/>
      <c r="S151" s="4"/>
      <c r="T151" s="4"/>
      <c r="U151" s="4"/>
      <c r="V151" s="4"/>
      <c r="W151" s="4"/>
      <c r="X151" s="4"/>
      <c r="Y151" s="4"/>
      <c r="Z151" s="4"/>
      <c r="AA151" s="4"/>
      <c r="AB151" s="5"/>
    </row>
    <row r="152" spans="1:28" x14ac:dyDescent="0.35">
      <c r="A152" s="3"/>
      <c r="B152" s="4"/>
      <c r="C152" s="4"/>
      <c r="D152" s="4"/>
      <c r="E152" s="4"/>
      <c r="F152" s="4"/>
      <c r="G152" s="4"/>
      <c r="H152" s="4"/>
      <c r="I152" s="4"/>
      <c r="J152" s="4"/>
      <c r="K152" s="4"/>
      <c r="L152" s="4"/>
      <c r="M152" s="4"/>
      <c r="N152" s="4"/>
      <c r="O152" s="4"/>
      <c r="P152" s="4"/>
      <c r="Q152" s="4"/>
      <c r="R152" s="135"/>
      <c r="S152" s="4"/>
      <c r="T152" s="4"/>
      <c r="U152" s="4"/>
      <c r="V152" s="4"/>
      <c r="W152" s="4"/>
      <c r="X152" s="4"/>
      <c r="Y152" s="4"/>
      <c r="Z152" s="4"/>
      <c r="AA152" s="4"/>
      <c r="AB152" s="5"/>
    </row>
    <row r="153" spans="1:28" x14ac:dyDescent="0.35">
      <c r="A153" s="3"/>
      <c r="B153" s="4"/>
      <c r="C153" s="4"/>
      <c r="D153" s="4"/>
      <c r="E153" s="4"/>
      <c r="F153" s="4"/>
      <c r="G153" s="4"/>
      <c r="H153" s="4"/>
      <c r="I153" s="4"/>
      <c r="J153" s="4"/>
      <c r="K153" s="4"/>
      <c r="L153" s="4"/>
      <c r="M153" s="4"/>
      <c r="N153" s="4"/>
      <c r="O153" s="4"/>
      <c r="P153" s="4"/>
      <c r="Q153" s="4"/>
      <c r="R153" s="135"/>
      <c r="S153" s="4"/>
      <c r="T153" s="4"/>
      <c r="U153" s="4"/>
      <c r="V153" s="4"/>
      <c r="W153" s="4"/>
      <c r="X153" s="4"/>
      <c r="Y153" s="4"/>
      <c r="Z153" s="4"/>
      <c r="AA153" s="4"/>
      <c r="AB153" s="5"/>
    </row>
    <row r="154" spans="1:28" x14ac:dyDescent="0.35">
      <c r="A154" s="3"/>
      <c r="B154" s="4"/>
      <c r="C154" s="4"/>
      <c r="D154" s="4"/>
      <c r="E154" s="4"/>
      <c r="F154" s="4"/>
      <c r="G154" s="4"/>
      <c r="H154" s="4"/>
      <c r="I154" s="4"/>
      <c r="J154" s="4"/>
      <c r="K154" s="4"/>
      <c r="L154" s="4"/>
      <c r="M154" s="4"/>
      <c r="N154" s="4"/>
      <c r="O154" s="4"/>
      <c r="P154" s="4"/>
      <c r="Q154" s="4"/>
      <c r="R154" s="135"/>
      <c r="S154" s="4"/>
      <c r="T154" s="4"/>
      <c r="U154" s="4"/>
      <c r="V154" s="4"/>
      <c r="W154" s="4"/>
      <c r="X154" s="4"/>
      <c r="Y154" s="4"/>
      <c r="Z154" s="4"/>
      <c r="AA154" s="4"/>
      <c r="AB154" s="5"/>
    </row>
    <row r="155" spans="1:28" x14ac:dyDescent="0.35">
      <c r="A155" s="3"/>
      <c r="B155" s="4"/>
      <c r="C155" s="4"/>
      <c r="D155" s="4"/>
      <c r="E155" s="4"/>
      <c r="F155" s="4"/>
      <c r="G155" s="4"/>
      <c r="H155" s="4"/>
      <c r="I155" s="4"/>
      <c r="J155" s="4"/>
      <c r="K155" s="4"/>
      <c r="L155" s="4"/>
      <c r="M155" s="4"/>
      <c r="N155" s="4"/>
      <c r="O155" s="4"/>
      <c r="P155" s="4"/>
      <c r="Q155" s="4"/>
      <c r="R155" s="135"/>
      <c r="S155" s="4"/>
      <c r="T155" s="4"/>
      <c r="U155" s="4"/>
      <c r="V155" s="4"/>
      <c r="W155" s="4"/>
      <c r="X155" s="4"/>
      <c r="Y155" s="4"/>
      <c r="Z155" s="4"/>
      <c r="AA155" s="4"/>
      <c r="AB155" s="5"/>
    </row>
    <row r="156" spans="1:28" x14ac:dyDescent="0.35">
      <c r="A156" s="3"/>
      <c r="B156" s="4"/>
      <c r="C156" s="4"/>
      <c r="D156" s="4"/>
      <c r="E156" s="4"/>
      <c r="F156" s="4"/>
      <c r="G156" s="4"/>
      <c r="H156" s="4"/>
      <c r="I156" s="4"/>
      <c r="J156" s="4"/>
      <c r="K156" s="4"/>
      <c r="L156" s="4"/>
      <c r="M156" s="4"/>
      <c r="N156" s="4"/>
      <c r="O156" s="4"/>
      <c r="P156" s="4"/>
      <c r="Q156" s="4"/>
      <c r="R156" s="135"/>
      <c r="S156" s="4"/>
      <c r="T156" s="4"/>
      <c r="U156" s="4"/>
      <c r="V156" s="4"/>
      <c r="W156" s="4"/>
      <c r="X156" s="4"/>
      <c r="Y156" s="4"/>
      <c r="Z156" s="4"/>
      <c r="AA156" s="4"/>
      <c r="AB156" s="5"/>
    </row>
    <row r="157" spans="1:28" x14ac:dyDescent="0.35">
      <c r="A157" s="3"/>
      <c r="B157" s="4"/>
      <c r="C157" s="4"/>
      <c r="D157" s="4"/>
      <c r="E157" s="4"/>
      <c r="F157" s="4"/>
      <c r="G157" s="4"/>
      <c r="H157" s="4"/>
      <c r="I157" s="4"/>
      <c r="J157" s="4"/>
      <c r="K157" s="4"/>
      <c r="L157" s="4"/>
      <c r="M157" s="4"/>
      <c r="N157" s="4"/>
      <c r="O157" s="4"/>
      <c r="P157" s="4"/>
      <c r="Q157" s="4"/>
      <c r="R157" s="135"/>
      <c r="S157" s="4"/>
      <c r="T157" s="4"/>
      <c r="U157" s="4"/>
      <c r="V157" s="4"/>
      <c r="W157" s="4"/>
      <c r="X157" s="4"/>
      <c r="Y157" s="4"/>
      <c r="Z157" s="4"/>
      <c r="AA157" s="4"/>
      <c r="AB157" s="5"/>
    </row>
    <row r="158" spans="1:28" x14ac:dyDescent="0.35">
      <c r="A158" s="3"/>
      <c r="B158" s="4"/>
      <c r="C158" s="4"/>
      <c r="D158" s="4"/>
      <c r="E158" s="4"/>
      <c r="F158" s="4"/>
      <c r="G158" s="4"/>
      <c r="H158" s="4"/>
      <c r="I158" s="4"/>
      <c r="J158" s="4"/>
      <c r="K158" s="4"/>
      <c r="L158" s="4"/>
      <c r="M158" s="4"/>
      <c r="N158" s="4"/>
      <c r="O158" s="4"/>
      <c r="P158" s="4"/>
      <c r="Q158" s="4"/>
      <c r="R158" s="135"/>
      <c r="S158" s="4"/>
      <c r="T158" s="4"/>
      <c r="U158" s="4"/>
      <c r="V158" s="4"/>
      <c r="W158" s="4"/>
      <c r="X158" s="4"/>
      <c r="Y158" s="4"/>
      <c r="Z158" s="4"/>
      <c r="AA158" s="4"/>
      <c r="AB158" s="5"/>
    </row>
    <row r="159" spans="1:28" x14ac:dyDescent="0.35">
      <c r="A159" s="3"/>
      <c r="B159" s="4"/>
      <c r="C159" s="4"/>
      <c r="D159" s="4"/>
      <c r="E159" s="4"/>
      <c r="F159" s="4"/>
      <c r="G159" s="4"/>
      <c r="H159" s="4"/>
      <c r="I159" s="4"/>
      <c r="J159" s="4"/>
      <c r="K159" s="4"/>
      <c r="L159" s="4"/>
      <c r="M159" s="4"/>
      <c r="N159" s="4"/>
      <c r="O159" s="4"/>
      <c r="P159" s="4"/>
      <c r="Q159" s="4"/>
      <c r="R159" s="135"/>
      <c r="S159" s="4"/>
      <c r="T159" s="4"/>
      <c r="U159" s="4"/>
      <c r="V159" s="4"/>
      <c r="W159" s="4"/>
      <c r="X159" s="4"/>
      <c r="Y159" s="4"/>
      <c r="Z159" s="4"/>
      <c r="AA159" s="4"/>
      <c r="AB159" s="5"/>
    </row>
    <row r="160" spans="1:28" x14ac:dyDescent="0.35">
      <c r="A160" s="3"/>
      <c r="B160" s="4"/>
      <c r="C160" s="4"/>
      <c r="D160" s="4"/>
      <c r="E160" s="4"/>
      <c r="F160" s="4"/>
      <c r="G160" s="4"/>
      <c r="H160" s="4"/>
      <c r="I160" s="4"/>
      <c r="J160" s="4"/>
      <c r="K160" s="4"/>
      <c r="L160" s="4"/>
      <c r="M160" s="4"/>
      <c r="N160" s="4"/>
      <c r="O160" s="4"/>
      <c r="P160" s="4"/>
      <c r="Q160" s="4"/>
      <c r="R160" s="135"/>
      <c r="S160" s="4"/>
      <c r="T160" s="4"/>
      <c r="U160" s="4"/>
      <c r="V160" s="4"/>
      <c r="W160" s="4"/>
      <c r="X160" s="4"/>
      <c r="Y160" s="4"/>
      <c r="Z160" s="4"/>
      <c r="AA160" s="4"/>
      <c r="AB160" s="5"/>
    </row>
    <row r="161" spans="1:28" x14ac:dyDescent="0.35">
      <c r="A161" s="3"/>
      <c r="B161" s="4"/>
      <c r="C161" s="4"/>
      <c r="D161" s="4"/>
      <c r="E161" s="4"/>
      <c r="F161" s="4"/>
      <c r="G161" s="4"/>
      <c r="H161" s="4"/>
      <c r="I161" s="4"/>
      <c r="J161" s="4"/>
      <c r="K161" s="4"/>
      <c r="L161" s="4"/>
      <c r="M161" s="4"/>
      <c r="N161" s="4"/>
      <c r="O161" s="4"/>
      <c r="P161" s="4"/>
      <c r="Q161" s="4"/>
      <c r="R161" s="135"/>
      <c r="S161" s="4"/>
      <c r="T161" s="4"/>
      <c r="U161" s="4"/>
      <c r="V161" s="4"/>
      <c r="W161" s="4"/>
      <c r="X161" s="4"/>
      <c r="Y161" s="4"/>
      <c r="Z161" s="4"/>
      <c r="AA161" s="4"/>
      <c r="AB161" s="5"/>
    </row>
    <row r="162" spans="1:28" x14ac:dyDescent="0.35">
      <c r="A162" s="3"/>
      <c r="B162" s="4"/>
      <c r="C162" s="4"/>
      <c r="D162" s="4"/>
      <c r="E162" s="4"/>
      <c r="F162" s="4"/>
      <c r="G162" s="4"/>
      <c r="H162" s="4"/>
      <c r="I162" s="4"/>
      <c r="J162" s="4"/>
      <c r="K162" s="4"/>
      <c r="L162" s="4"/>
      <c r="M162" s="4"/>
      <c r="N162" s="4"/>
      <c r="O162" s="4"/>
      <c r="P162" s="4"/>
      <c r="Q162" s="4"/>
      <c r="R162" s="135"/>
      <c r="S162" s="4"/>
      <c r="T162" s="4"/>
      <c r="U162" s="4"/>
      <c r="V162" s="4"/>
      <c r="W162" s="4"/>
      <c r="X162" s="4"/>
      <c r="Y162" s="4"/>
      <c r="Z162" s="4"/>
      <c r="AA162" s="4"/>
      <c r="AB162" s="5"/>
    </row>
    <row r="163" spans="1:28" x14ac:dyDescent="0.35">
      <c r="A163" s="3"/>
      <c r="B163" s="4"/>
      <c r="C163" s="4"/>
      <c r="D163" s="4"/>
      <c r="E163" s="4"/>
      <c r="F163" s="4"/>
      <c r="G163" s="4"/>
      <c r="H163" s="4"/>
      <c r="I163" s="4"/>
      <c r="J163" s="4"/>
      <c r="K163" s="4"/>
      <c r="L163" s="4"/>
      <c r="M163" s="4"/>
      <c r="N163" s="4"/>
      <c r="O163" s="4"/>
      <c r="P163" s="4"/>
      <c r="Q163" s="4"/>
      <c r="R163" s="135"/>
      <c r="S163" s="4"/>
      <c r="T163" s="4"/>
      <c r="U163" s="4"/>
      <c r="V163" s="4"/>
      <c r="W163" s="4"/>
      <c r="X163" s="4"/>
      <c r="Y163" s="4"/>
      <c r="Z163" s="4"/>
      <c r="AA163" s="4"/>
      <c r="AB163" s="5"/>
    </row>
    <row r="164" spans="1:28" x14ac:dyDescent="0.35">
      <c r="A164" s="3"/>
      <c r="B164" s="4"/>
      <c r="C164" s="4"/>
      <c r="D164" s="4"/>
      <c r="E164" s="4"/>
      <c r="F164" s="4"/>
      <c r="G164" s="4"/>
      <c r="H164" s="4"/>
      <c r="I164" s="4"/>
      <c r="J164" s="4"/>
      <c r="K164" s="4"/>
      <c r="L164" s="4"/>
      <c r="M164" s="4"/>
      <c r="N164" s="4"/>
      <c r="O164" s="4"/>
      <c r="P164" s="4"/>
      <c r="Q164" s="4"/>
      <c r="R164" s="135"/>
      <c r="S164" s="4"/>
      <c r="T164" s="4"/>
      <c r="U164" s="4"/>
      <c r="V164" s="4"/>
      <c r="W164" s="4"/>
      <c r="X164" s="4"/>
      <c r="Y164" s="4"/>
      <c r="Z164" s="4"/>
      <c r="AA164" s="4"/>
      <c r="AB164" s="5"/>
    </row>
    <row r="165" spans="1:28" x14ac:dyDescent="0.35">
      <c r="A165" s="3"/>
      <c r="B165" s="4"/>
      <c r="C165" s="4"/>
      <c r="D165" s="4"/>
      <c r="E165" s="4"/>
      <c r="F165" s="4"/>
      <c r="G165" s="4"/>
      <c r="H165" s="4"/>
      <c r="I165" s="4"/>
      <c r="J165" s="4"/>
      <c r="K165" s="4"/>
      <c r="L165" s="4"/>
      <c r="M165" s="4"/>
      <c r="N165" s="4"/>
      <c r="O165" s="4"/>
      <c r="P165" s="4"/>
      <c r="Q165" s="4"/>
      <c r="R165" s="135"/>
      <c r="S165" s="4"/>
      <c r="T165" s="4"/>
      <c r="U165" s="4"/>
      <c r="V165" s="4"/>
      <c r="W165" s="4"/>
      <c r="X165" s="4"/>
      <c r="Y165" s="4"/>
      <c r="Z165" s="4"/>
      <c r="AA165" s="4"/>
      <c r="AB165" s="5"/>
    </row>
    <row r="166" spans="1:28" x14ac:dyDescent="0.35">
      <c r="A166" s="3"/>
      <c r="B166" s="4"/>
      <c r="C166" s="4"/>
      <c r="D166" s="4"/>
      <c r="E166" s="4"/>
      <c r="F166" s="4"/>
      <c r="G166" s="4"/>
      <c r="H166" s="4"/>
      <c r="I166" s="4"/>
      <c r="J166" s="4"/>
      <c r="K166" s="4"/>
      <c r="L166" s="4"/>
      <c r="M166" s="4"/>
      <c r="N166" s="4"/>
      <c r="O166" s="4"/>
      <c r="P166" s="4"/>
      <c r="Q166" s="4"/>
      <c r="R166" s="135"/>
      <c r="S166" s="4"/>
      <c r="T166" s="4"/>
      <c r="U166" s="4"/>
      <c r="V166" s="4"/>
      <c r="W166" s="4"/>
      <c r="X166" s="4"/>
      <c r="Y166" s="4"/>
      <c r="Z166" s="4"/>
      <c r="AA166" s="4"/>
      <c r="AB166" s="5"/>
    </row>
    <row r="167" spans="1:28" x14ac:dyDescent="0.35">
      <c r="A167" s="3"/>
      <c r="B167" s="4"/>
      <c r="C167" s="4"/>
      <c r="D167" s="4"/>
      <c r="E167" s="4"/>
      <c r="F167" s="4"/>
      <c r="G167" s="4"/>
      <c r="H167" s="4"/>
      <c r="I167" s="4"/>
      <c r="J167" s="4"/>
      <c r="K167" s="4"/>
      <c r="L167" s="4"/>
      <c r="M167" s="4"/>
      <c r="N167" s="4"/>
      <c r="O167" s="4"/>
      <c r="P167" s="4"/>
      <c r="Q167" s="4"/>
      <c r="R167" s="135"/>
      <c r="S167" s="4"/>
      <c r="T167" s="4"/>
      <c r="U167" s="4"/>
      <c r="V167" s="4"/>
      <c r="W167" s="4"/>
      <c r="X167" s="4"/>
      <c r="Y167" s="4"/>
      <c r="Z167" s="4"/>
      <c r="AA167" s="4"/>
      <c r="AB167" s="5"/>
    </row>
    <row r="168" spans="1:28" x14ac:dyDescent="0.35">
      <c r="A168" s="3"/>
      <c r="B168" s="4"/>
      <c r="C168" s="4"/>
      <c r="D168" s="4"/>
      <c r="E168" s="4"/>
      <c r="F168" s="4"/>
      <c r="G168" s="4"/>
      <c r="H168" s="4"/>
      <c r="I168" s="4"/>
      <c r="J168" s="4"/>
      <c r="K168" s="4"/>
      <c r="L168" s="4"/>
      <c r="M168" s="4"/>
      <c r="N168" s="4"/>
      <c r="O168" s="4"/>
      <c r="P168" s="4"/>
      <c r="Q168" s="4"/>
      <c r="R168" s="135"/>
      <c r="S168" s="4"/>
      <c r="T168" s="4"/>
      <c r="U168" s="4"/>
      <c r="V168" s="4"/>
      <c r="W168" s="4"/>
      <c r="X168" s="4"/>
      <c r="Y168" s="4"/>
      <c r="Z168" s="4"/>
      <c r="AA168" s="4"/>
      <c r="AB168" s="5"/>
    </row>
    <row r="169" spans="1:28" x14ac:dyDescent="0.35">
      <c r="A169" s="3"/>
      <c r="B169" s="4"/>
      <c r="C169" s="4"/>
      <c r="D169" s="4"/>
      <c r="E169" s="4"/>
      <c r="F169" s="4"/>
      <c r="G169" s="4"/>
      <c r="H169" s="4"/>
      <c r="I169" s="4"/>
      <c r="J169" s="4"/>
      <c r="K169" s="4"/>
      <c r="L169" s="4"/>
      <c r="M169" s="4"/>
      <c r="N169" s="4"/>
      <c r="O169" s="4"/>
      <c r="P169" s="4"/>
      <c r="Q169" s="4"/>
      <c r="R169" s="135"/>
      <c r="S169" s="4"/>
      <c r="T169" s="4"/>
      <c r="U169" s="4"/>
      <c r="V169" s="4"/>
      <c r="W169" s="4"/>
      <c r="X169" s="4"/>
      <c r="Y169" s="4"/>
      <c r="Z169" s="4"/>
      <c r="AA169" s="4"/>
      <c r="AB169" s="5"/>
    </row>
    <row r="170" spans="1:28" x14ac:dyDescent="0.35">
      <c r="A170" s="3"/>
      <c r="B170" s="4"/>
      <c r="C170" s="4"/>
      <c r="D170" s="4"/>
      <c r="E170" s="4"/>
      <c r="F170" s="4"/>
      <c r="G170" s="4"/>
      <c r="H170" s="4"/>
      <c r="I170" s="4"/>
      <c r="J170" s="4"/>
      <c r="K170" s="4"/>
      <c r="L170" s="4"/>
      <c r="M170" s="4"/>
      <c r="N170" s="4"/>
      <c r="O170" s="4"/>
      <c r="P170" s="4"/>
      <c r="Q170" s="4"/>
      <c r="R170" s="135"/>
      <c r="S170" s="4"/>
      <c r="T170" s="4"/>
      <c r="U170" s="4"/>
      <c r="V170" s="4"/>
      <c r="W170" s="4"/>
      <c r="X170" s="4"/>
      <c r="Y170" s="4"/>
      <c r="Z170" s="4"/>
      <c r="AA170" s="4"/>
      <c r="AB170" s="5"/>
    </row>
    <row r="171" spans="1:28" x14ac:dyDescent="0.35">
      <c r="A171" s="3"/>
      <c r="B171" s="4"/>
      <c r="C171" s="4"/>
      <c r="D171" s="4"/>
      <c r="E171" s="4"/>
      <c r="F171" s="4"/>
      <c r="G171" s="4"/>
      <c r="H171" s="4"/>
      <c r="I171" s="4"/>
      <c r="J171" s="4"/>
      <c r="K171" s="4"/>
      <c r="L171" s="4"/>
      <c r="M171" s="4"/>
      <c r="N171" s="4"/>
      <c r="O171" s="4"/>
      <c r="P171" s="4"/>
      <c r="Q171" s="4"/>
      <c r="R171" s="135"/>
      <c r="S171" s="4"/>
      <c r="T171" s="4"/>
      <c r="U171" s="4"/>
      <c r="V171" s="4"/>
      <c r="W171" s="4"/>
      <c r="X171" s="4"/>
      <c r="Y171" s="4"/>
      <c r="Z171" s="4"/>
      <c r="AA171" s="4"/>
      <c r="AB171" s="5"/>
    </row>
    <row r="172" spans="1:28" x14ac:dyDescent="0.35">
      <c r="A172" s="3"/>
      <c r="B172" s="4"/>
      <c r="C172" s="4"/>
      <c r="D172" s="4"/>
      <c r="E172" s="4"/>
      <c r="F172" s="4"/>
      <c r="G172" s="4"/>
      <c r="H172" s="4"/>
      <c r="I172" s="4"/>
      <c r="J172" s="4"/>
      <c r="K172" s="4"/>
      <c r="L172" s="4"/>
      <c r="M172" s="4"/>
      <c r="N172" s="4"/>
      <c r="O172" s="4"/>
      <c r="P172" s="4"/>
      <c r="Q172" s="4"/>
      <c r="R172" s="135"/>
      <c r="S172" s="4"/>
      <c r="T172" s="4"/>
      <c r="U172" s="4"/>
      <c r="V172" s="4"/>
      <c r="W172" s="4"/>
      <c r="X172" s="4"/>
      <c r="Y172" s="4"/>
      <c r="Z172" s="4"/>
      <c r="AA172" s="4"/>
      <c r="AB172" s="5"/>
    </row>
    <row r="173" spans="1:28" x14ac:dyDescent="0.35">
      <c r="A173" s="3"/>
      <c r="B173" s="4"/>
      <c r="C173" s="4"/>
      <c r="D173" s="4"/>
      <c r="E173" s="4"/>
      <c r="F173" s="4"/>
      <c r="G173" s="4"/>
      <c r="H173" s="4"/>
      <c r="I173" s="4"/>
      <c r="J173" s="4"/>
      <c r="K173" s="4"/>
      <c r="L173" s="4"/>
      <c r="M173" s="4"/>
      <c r="N173" s="4"/>
      <c r="O173" s="4"/>
      <c r="P173" s="4"/>
      <c r="Q173" s="4"/>
      <c r="R173" s="135"/>
      <c r="S173" s="4"/>
      <c r="T173" s="4"/>
      <c r="U173" s="4"/>
      <c r="V173" s="4"/>
      <c r="W173" s="4"/>
      <c r="X173" s="4"/>
      <c r="Y173" s="4"/>
      <c r="Z173" s="4"/>
      <c r="AA173" s="4"/>
      <c r="AB173" s="5"/>
    </row>
    <row r="174" spans="1:28" x14ac:dyDescent="0.35">
      <c r="A174" s="3"/>
      <c r="B174" s="4"/>
      <c r="C174" s="4"/>
      <c r="D174" s="4"/>
      <c r="E174" s="4"/>
      <c r="F174" s="4"/>
      <c r="G174" s="4"/>
      <c r="H174" s="4"/>
      <c r="I174" s="4"/>
      <c r="J174" s="4"/>
      <c r="K174" s="4"/>
      <c r="L174" s="4"/>
      <c r="M174" s="4"/>
      <c r="N174" s="4"/>
      <c r="O174" s="4"/>
      <c r="P174" s="4"/>
      <c r="Q174" s="4"/>
      <c r="R174" s="135"/>
      <c r="S174" s="4"/>
      <c r="T174" s="4"/>
      <c r="U174" s="4"/>
      <c r="V174" s="4"/>
      <c r="W174" s="4"/>
      <c r="X174" s="4"/>
      <c r="Y174" s="4"/>
      <c r="Z174" s="4"/>
      <c r="AA174" s="4"/>
      <c r="AB174" s="5"/>
    </row>
    <row r="175" spans="1:28" x14ac:dyDescent="0.35">
      <c r="A175" s="3"/>
      <c r="B175" s="4"/>
      <c r="C175" s="4"/>
      <c r="D175" s="4"/>
      <c r="E175" s="4"/>
      <c r="F175" s="4"/>
      <c r="G175" s="4"/>
      <c r="H175" s="4"/>
      <c r="I175" s="4"/>
      <c r="J175" s="4"/>
      <c r="K175" s="4"/>
      <c r="L175" s="4"/>
      <c r="M175" s="4"/>
      <c r="N175" s="4"/>
      <c r="O175" s="4"/>
      <c r="P175" s="4"/>
      <c r="Q175" s="4"/>
      <c r="R175" s="135"/>
      <c r="S175" s="4"/>
      <c r="T175" s="4"/>
      <c r="U175" s="4"/>
      <c r="V175" s="4"/>
      <c r="W175" s="4"/>
      <c r="X175" s="4"/>
      <c r="Y175" s="4"/>
      <c r="Z175" s="4"/>
      <c r="AA175" s="4"/>
      <c r="AB175" s="5"/>
    </row>
    <row r="176" spans="1:28" x14ac:dyDescent="0.35">
      <c r="A176" s="3"/>
      <c r="B176" s="4"/>
      <c r="C176" s="4"/>
      <c r="D176" s="4"/>
      <c r="E176" s="4"/>
      <c r="F176" s="4"/>
      <c r="G176" s="4"/>
      <c r="H176" s="4"/>
      <c r="I176" s="4"/>
      <c r="J176" s="4"/>
      <c r="K176" s="4"/>
      <c r="L176" s="4"/>
      <c r="M176" s="4"/>
      <c r="N176" s="4"/>
      <c r="O176" s="4"/>
      <c r="P176" s="4"/>
      <c r="Q176" s="4"/>
      <c r="R176" s="135"/>
      <c r="S176" s="4"/>
      <c r="T176" s="4"/>
      <c r="U176" s="4"/>
      <c r="V176" s="4"/>
      <c r="W176" s="4"/>
      <c r="X176" s="4"/>
      <c r="Y176" s="4"/>
      <c r="Z176" s="4"/>
      <c r="AA176" s="4"/>
      <c r="AB176" s="5"/>
    </row>
    <row r="177" spans="1:28" x14ac:dyDescent="0.35">
      <c r="A177" s="3"/>
      <c r="B177" s="4"/>
      <c r="C177" s="4"/>
      <c r="D177" s="4"/>
      <c r="E177" s="4"/>
      <c r="F177" s="4"/>
      <c r="G177" s="4"/>
      <c r="H177" s="4"/>
      <c r="I177" s="4"/>
      <c r="J177" s="4"/>
      <c r="K177" s="4"/>
      <c r="L177" s="4"/>
      <c r="M177" s="4"/>
      <c r="N177" s="4"/>
      <c r="O177" s="4"/>
      <c r="P177" s="4"/>
      <c r="Q177" s="4"/>
      <c r="R177" s="135"/>
      <c r="S177" s="4"/>
      <c r="T177" s="4"/>
      <c r="U177" s="4"/>
      <c r="V177" s="4"/>
      <c r="W177" s="4"/>
      <c r="X177" s="4"/>
      <c r="Y177" s="4"/>
      <c r="Z177" s="4"/>
      <c r="AA177" s="4"/>
      <c r="AB177" s="5"/>
    </row>
    <row r="178" spans="1:28" x14ac:dyDescent="0.35">
      <c r="A178" s="3"/>
      <c r="B178" s="4"/>
      <c r="C178" s="4"/>
      <c r="D178" s="4"/>
      <c r="E178" s="4"/>
      <c r="F178" s="4"/>
      <c r="G178" s="4"/>
      <c r="H178" s="4"/>
      <c r="I178" s="4"/>
      <c r="J178" s="4"/>
      <c r="K178" s="4"/>
      <c r="L178" s="4"/>
      <c r="M178" s="4"/>
      <c r="N178" s="4"/>
      <c r="O178" s="4"/>
      <c r="P178" s="4"/>
      <c r="Q178" s="4"/>
      <c r="R178" s="135"/>
      <c r="S178" s="4"/>
      <c r="T178" s="4"/>
      <c r="U178" s="4"/>
      <c r="V178" s="4"/>
      <c r="W178" s="4"/>
      <c r="X178" s="4"/>
      <c r="Y178" s="4"/>
      <c r="Z178" s="4"/>
      <c r="AA178" s="4"/>
      <c r="AB178" s="5"/>
    </row>
    <row r="179" spans="1:28" x14ac:dyDescent="0.35">
      <c r="A179" s="3"/>
      <c r="B179" s="4"/>
      <c r="C179" s="4"/>
      <c r="D179" s="4"/>
      <c r="E179" s="4"/>
      <c r="F179" s="4"/>
      <c r="G179" s="4"/>
      <c r="H179" s="4"/>
      <c r="I179" s="4"/>
      <c r="J179" s="4"/>
      <c r="K179" s="4"/>
      <c r="L179" s="4"/>
      <c r="M179" s="4"/>
      <c r="N179" s="4"/>
      <c r="O179" s="4"/>
      <c r="P179" s="4"/>
      <c r="Q179" s="4"/>
      <c r="R179" s="135"/>
      <c r="S179" s="4"/>
      <c r="T179" s="4"/>
      <c r="U179" s="4"/>
      <c r="V179" s="4"/>
      <c r="W179" s="4"/>
      <c r="X179" s="4"/>
      <c r="Y179" s="4"/>
      <c r="Z179" s="4"/>
      <c r="AA179" s="4"/>
      <c r="AB179" s="5"/>
    </row>
    <row r="180" spans="1:28" x14ac:dyDescent="0.35">
      <c r="A180" s="3"/>
      <c r="B180" s="4"/>
      <c r="C180" s="4"/>
      <c r="D180" s="4"/>
      <c r="E180" s="4"/>
      <c r="F180" s="4"/>
      <c r="G180" s="4"/>
      <c r="H180" s="4"/>
      <c r="I180" s="4"/>
      <c r="J180" s="4"/>
      <c r="K180" s="4"/>
      <c r="L180" s="4"/>
      <c r="M180" s="4"/>
      <c r="N180" s="4"/>
      <c r="O180" s="4"/>
      <c r="P180" s="4"/>
      <c r="Q180" s="4"/>
      <c r="R180" s="135"/>
      <c r="S180" s="4"/>
      <c r="T180" s="4"/>
      <c r="U180" s="4"/>
      <c r="V180" s="4"/>
      <c r="W180" s="4"/>
      <c r="X180" s="4"/>
      <c r="Y180" s="4"/>
      <c r="Z180" s="4"/>
      <c r="AA180" s="4"/>
      <c r="AB180" s="5"/>
    </row>
    <row r="181" spans="1:28" x14ac:dyDescent="0.35">
      <c r="A181" s="3"/>
      <c r="B181" s="4"/>
      <c r="C181" s="4"/>
      <c r="D181" s="4"/>
      <c r="E181" s="4"/>
      <c r="F181" s="4"/>
      <c r="G181" s="4"/>
      <c r="H181" s="4"/>
      <c r="I181" s="4"/>
      <c r="J181" s="4"/>
      <c r="K181" s="4"/>
      <c r="L181" s="4"/>
      <c r="M181" s="4"/>
      <c r="N181" s="4"/>
      <c r="O181" s="4"/>
      <c r="P181" s="4"/>
      <c r="Q181" s="4"/>
      <c r="R181" s="135"/>
      <c r="S181" s="4"/>
      <c r="T181" s="4"/>
      <c r="U181" s="4"/>
      <c r="V181" s="4"/>
      <c r="W181" s="4"/>
      <c r="X181" s="4"/>
      <c r="Y181" s="4"/>
      <c r="Z181" s="4"/>
      <c r="AA181" s="4"/>
      <c r="AB181" s="5"/>
    </row>
    <row r="182" spans="1:28" x14ac:dyDescent="0.35">
      <c r="A182" s="3"/>
      <c r="B182" s="4"/>
      <c r="C182" s="4"/>
      <c r="D182" s="4"/>
      <c r="E182" s="4"/>
      <c r="F182" s="4"/>
      <c r="G182" s="4"/>
      <c r="H182" s="4"/>
      <c r="I182" s="4"/>
      <c r="J182" s="4"/>
      <c r="K182" s="4"/>
      <c r="L182" s="4"/>
      <c r="M182" s="4"/>
      <c r="N182" s="4"/>
      <c r="O182" s="4"/>
      <c r="P182" s="4"/>
      <c r="Q182" s="4"/>
      <c r="R182" s="135"/>
      <c r="S182" s="4"/>
      <c r="T182" s="4"/>
      <c r="U182" s="4"/>
      <c r="V182" s="4"/>
      <c r="W182" s="4"/>
      <c r="X182" s="4"/>
      <c r="Y182" s="4"/>
      <c r="Z182" s="4"/>
      <c r="AA182" s="4"/>
      <c r="AB182" s="5"/>
    </row>
    <row r="183" spans="1:28" x14ac:dyDescent="0.35">
      <c r="A183" s="3"/>
      <c r="B183" s="4"/>
      <c r="C183" s="4"/>
      <c r="D183" s="4"/>
      <c r="E183" s="4"/>
      <c r="F183" s="4"/>
      <c r="G183" s="4"/>
      <c r="H183" s="4"/>
      <c r="I183" s="4"/>
      <c r="J183" s="4"/>
      <c r="K183" s="4"/>
      <c r="L183" s="4"/>
      <c r="M183" s="4"/>
      <c r="N183" s="4"/>
      <c r="O183" s="4"/>
      <c r="P183" s="4"/>
      <c r="Q183" s="4"/>
      <c r="R183" s="135"/>
      <c r="S183" s="4"/>
      <c r="T183" s="4"/>
      <c r="U183" s="4"/>
      <c r="V183" s="4"/>
      <c r="W183" s="4"/>
      <c r="X183" s="4"/>
      <c r="Y183" s="4"/>
      <c r="Z183" s="4"/>
      <c r="AA183" s="4"/>
      <c r="AB183" s="5"/>
    </row>
    <row r="184" spans="1:28" x14ac:dyDescent="0.35">
      <c r="A184" s="3"/>
      <c r="B184" s="4"/>
      <c r="C184" s="4"/>
      <c r="D184" s="4"/>
      <c r="E184" s="4"/>
      <c r="F184" s="4"/>
      <c r="G184" s="4"/>
      <c r="H184" s="4"/>
      <c r="I184" s="4"/>
      <c r="J184" s="4"/>
      <c r="K184" s="4"/>
      <c r="L184" s="4"/>
      <c r="M184" s="4"/>
      <c r="N184" s="4"/>
      <c r="O184" s="4"/>
      <c r="P184" s="4"/>
      <c r="Q184" s="4"/>
      <c r="R184" s="135"/>
      <c r="S184" s="4"/>
      <c r="T184" s="4"/>
      <c r="U184" s="4"/>
      <c r="V184" s="4"/>
      <c r="W184" s="4"/>
      <c r="X184" s="4"/>
      <c r="Y184" s="4"/>
      <c r="Z184" s="4"/>
      <c r="AA184" s="4"/>
      <c r="AB184" s="5"/>
    </row>
    <row r="185" spans="1:28" x14ac:dyDescent="0.35">
      <c r="A185" s="3"/>
      <c r="B185" s="4"/>
      <c r="C185" s="4"/>
      <c r="D185" s="4"/>
      <c r="E185" s="4"/>
      <c r="F185" s="4"/>
      <c r="G185" s="4"/>
      <c r="H185" s="4"/>
      <c r="I185" s="4"/>
      <c r="J185" s="4"/>
      <c r="K185" s="4"/>
      <c r="L185" s="4"/>
      <c r="M185" s="4"/>
      <c r="N185" s="4"/>
      <c r="O185" s="4"/>
      <c r="P185" s="4"/>
      <c r="Q185" s="4"/>
      <c r="R185" s="135"/>
      <c r="S185" s="4"/>
      <c r="T185" s="4"/>
      <c r="U185" s="4"/>
      <c r="V185" s="4"/>
      <c r="W185" s="4"/>
      <c r="X185" s="4"/>
      <c r="Y185" s="4"/>
      <c r="Z185" s="4"/>
      <c r="AA185" s="4"/>
      <c r="AB185" s="5"/>
    </row>
    <row r="186" spans="1:28" x14ac:dyDescent="0.35">
      <c r="A186" s="3"/>
      <c r="B186" s="4"/>
      <c r="C186" s="4"/>
      <c r="D186" s="4"/>
      <c r="E186" s="4"/>
      <c r="F186" s="4"/>
      <c r="G186" s="4"/>
      <c r="H186" s="4"/>
      <c r="I186" s="4"/>
      <c r="J186" s="4"/>
      <c r="K186" s="4"/>
      <c r="L186" s="4"/>
      <c r="M186" s="4"/>
      <c r="N186" s="4"/>
      <c r="O186" s="4"/>
      <c r="P186" s="4"/>
      <c r="Q186" s="4"/>
      <c r="R186" s="135"/>
      <c r="S186" s="4"/>
      <c r="T186" s="4"/>
      <c r="U186" s="4"/>
      <c r="V186" s="4"/>
      <c r="W186" s="4"/>
      <c r="X186" s="4"/>
      <c r="Y186" s="4"/>
      <c r="Z186" s="4"/>
      <c r="AA186" s="4"/>
      <c r="AB186" s="5"/>
    </row>
    <row r="187" spans="1:28" x14ac:dyDescent="0.35">
      <c r="A187" s="3"/>
      <c r="B187" s="4"/>
      <c r="C187" s="4"/>
      <c r="D187" s="4"/>
      <c r="E187" s="4"/>
      <c r="F187" s="4"/>
      <c r="G187" s="4"/>
      <c r="H187" s="4"/>
      <c r="I187" s="4"/>
      <c r="J187" s="4"/>
      <c r="K187" s="4"/>
      <c r="L187" s="4"/>
      <c r="M187" s="4"/>
      <c r="N187" s="4"/>
      <c r="O187" s="4"/>
      <c r="P187" s="4"/>
      <c r="Q187" s="4"/>
      <c r="R187" s="135"/>
      <c r="S187" s="4"/>
      <c r="T187" s="4"/>
      <c r="U187" s="4"/>
      <c r="V187" s="4"/>
      <c r="W187" s="4"/>
      <c r="X187" s="4"/>
      <c r="Y187" s="4"/>
      <c r="Z187" s="4"/>
      <c r="AA187" s="4"/>
      <c r="AB187" s="5"/>
    </row>
    <row r="188" spans="1:28" x14ac:dyDescent="0.35">
      <c r="A188" s="3"/>
      <c r="B188" s="4"/>
      <c r="C188" s="4"/>
      <c r="D188" s="4"/>
      <c r="E188" s="4"/>
      <c r="F188" s="4"/>
      <c r="G188" s="4"/>
      <c r="H188" s="4"/>
      <c r="I188" s="4"/>
      <c r="J188" s="4"/>
      <c r="K188" s="4"/>
      <c r="L188" s="4"/>
      <c r="M188" s="4"/>
      <c r="N188" s="4"/>
      <c r="O188" s="4"/>
      <c r="P188" s="4"/>
      <c r="Q188" s="4"/>
      <c r="R188" s="135"/>
      <c r="S188" s="4"/>
      <c r="T188" s="4"/>
      <c r="U188" s="4"/>
      <c r="V188" s="4"/>
      <c r="W188" s="4"/>
      <c r="X188" s="4"/>
      <c r="Y188" s="4"/>
      <c r="Z188" s="4"/>
      <c r="AA188" s="4"/>
      <c r="AB188" s="5"/>
    </row>
    <row r="189" spans="1:28" x14ac:dyDescent="0.35">
      <c r="A189" s="3"/>
      <c r="B189" s="4"/>
      <c r="C189" s="4"/>
      <c r="D189" s="4"/>
      <c r="E189" s="4"/>
      <c r="F189" s="4"/>
      <c r="G189" s="4"/>
      <c r="H189" s="4"/>
      <c r="I189" s="4"/>
      <c r="J189" s="4"/>
      <c r="K189" s="4"/>
      <c r="L189" s="4"/>
      <c r="M189" s="4"/>
      <c r="N189" s="4"/>
      <c r="O189" s="4"/>
      <c r="P189" s="4"/>
      <c r="Q189" s="4"/>
      <c r="R189" s="135"/>
      <c r="S189" s="4"/>
      <c r="T189" s="4"/>
      <c r="U189" s="4"/>
      <c r="V189" s="4"/>
      <c r="W189" s="4"/>
      <c r="X189" s="4"/>
      <c r="Y189" s="4"/>
      <c r="Z189" s="4"/>
      <c r="AA189" s="4"/>
      <c r="AB189" s="5"/>
    </row>
    <row r="190" spans="1:28" x14ac:dyDescent="0.35">
      <c r="A190" s="3"/>
      <c r="B190" s="4"/>
      <c r="C190" s="4"/>
      <c r="D190" s="4"/>
      <c r="E190" s="4"/>
      <c r="F190" s="4"/>
      <c r="G190" s="4"/>
      <c r="H190" s="4"/>
      <c r="I190" s="4"/>
      <c r="J190" s="4"/>
      <c r="K190" s="4"/>
      <c r="L190" s="4"/>
      <c r="M190" s="4"/>
      <c r="N190" s="4"/>
      <c r="O190" s="4"/>
      <c r="P190" s="4"/>
      <c r="Q190" s="4"/>
      <c r="R190" s="135"/>
      <c r="S190" s="4"/>
      <c r="T190" s="4"/>
      <c r="U190" s="4"/>
      <c r="V190" s="4"/>
      <c r="W190" s="4"/>
      <c r="X190" s="4"/>
      <c r="Y190" s="4"/>
      <c r="Z190" s="4"/>
      <c r="AA190" s="4"/>
      <c r="AB190" s="5"/>
    </row>
    <row r="191" spans="1:28" x14ac:dyDescent="0.35">
      <c r="A191" s="3"/>
      <c r="B191" s="4"/>
      <c r="C191" s="4"/>
      <c r="D191" s="4"/>
      <c r="E191" s="4"/>
      <c r="F191" s="4"/>
      <c r="G191" s="4"/>
      <c r="H191" s="4"/>
      <c r="I191" s="4"/>
      <c r="J191" s="4"/>
      <c r="K191" s="4"/>
      <c r="L191" s="4"/>
      <c r="M191" s="4"/>
      <c r="N191" s="4"/>
      <c r="O191" s="4"/>
      <c r="P191" s="4"/>
      <c r="Q191" s="4"/>
      <c r="R191" s="135"/>
      <c r="S191" s="4"/>
      <c r="T191" s="4"/>
      <c r="U191" s="4"/>
      <c r="V191" s="4"/>
      <c r="W191" s="4"/>
      <c r="X191" s="4"/>
      <c r="Y191" s="4"/>
      <c r="Z191" s="4"/>
      <c r="AA191" s="4"/>
      <c r="AB191" s="5"/>
    </row>
    <row r="192" spans="1:28" x14ac:dyDescent="0.35">
      <c r="A192" s="3"/>
      <c r="B192" s="4"/>
      <c r="C192" s="4"/>
      <c r="D192" s="4"/>
      <c r="E192" s="4"/>
      <c r="F192" s="4"/>
      <c r="G192" s="4"/>
      <c r="H192" s="4"/>
      <c r="I192" s="4"/>
      <c r="J192" s="4"/>
      <c r="K192" s="4"/>
      <c r="L192" s="4"/>
      <c r="M192" s="4"/>
      <c r="N192" s="4"/>
      <c r="O192" s="4"/>
      <c r="P192" s="4"/>
      <c r="Q192" s="4"/>
      <c r="R192" s="135"/>
      <c r="S192" s="4"/>
      <c r="T192" s="4"/>
      <c r="U192" s="4"/>
      <c r="V192" s="4"/>
      <c r="W192" s="4"/>
      <c r="X192" s="4"/>
      <c r="Y192" s="4"/>
      <c r="Z192" s="4"/>
      <c r="AA192" s="4"/>
      <c r="AB192" s="5"/>
    </row>
    <row r="193" spans="1:28" x14ac:dyDescent="0.35">
      <c r="A193" s="3"/>
      <c r="B193" s="4"/>
      <c r="C193" s="4"/>
      <c r="D193" s="4"/>
      <c r="E193" s="4"/>
      <c r="F193" s="4"/>
      <c r="G193" s="4"/>
      <c r="H193" s="4"/>
      <c r="I193" s="4"/>
      <c r="J193" s="4"/>
      <c r="K193" s="4"/>
      <c r="L193" s="4"/>
      <c r="M193" s="4"/>
      <c r="N193" s="4"/>
      <c r="O193" s="4"/>
      <c r="P193" s="4"/>
      <c r="Q193" s="4"/>
      <c r="R193" s="135"/>
      <c r="S193" s="4"/>
      <c r="T193" s="4"/>
      <c r="U193" s="4"/>
      <c r="V193" s="4"/>
      <c r="W193" s="4"/>
      <c r="X193" s="4"/>
      <c r="Y193" s="4"/>
      <c r="Z193" s="4"/>
      <c r="AA193" s="4"/>
      <c r="AB193" s="5"/>
    </row>
    <row r="194" spans="1:28" x14ac:dyDescent="0.35">
      <c r="A194" s="3"/>
      <c r="B194" s="4"/>
      <c r="C194" s="4"/>
      <c r="D194" s="4"/>
      <c r="E194" s="4"/>
      <c r="F194" s="4"/>
      <c r="G194" s="4"/>
      <c r="H194" s="4"/>
      <c r="I194" s="4"/>
      <c r="J194" s="4"/>
      <c r="K194" s="4"/>
      <c r="L194" s="4"/>
      <c r="M194" s="4"/>
      <c r="N194" s="4"/>
      <c r="O194" s="4"/>
      <c r="P194" s="4"/>
      <c r="Q194" s="4"/>
      <c r="R194" s="135"/>
      <c r="S194" s="4"/>
      <c r="T194" s="4"/>
      <c r="U194" s="4"/>
      <c r="V194" s="4"/>
      <c r="W194" s="4"/>
      <c r="X194" s="4"/>
      <c r="Y194" s="4"/>
      <c r="Z194" s="4"/>
      <c r="AA194" s="4"/>
      <c r="AB194" s="5"/>
    </row>
    <row r="195" spans="1:28" x14ac:dyDescent="0.35">
      <c r="A195" s="3"/>
      <c r="B195" s="4"/>
      <c r="C195" s="4"/>
      <c r="D195" s="4"/>
      <c r="E195" s="4"/>
      <c r="F195" s="4"/>
      <c r="G195" s="4"/>
      <c r="H195" s="4"/>
      <c r="I195" s="4"/>
      <c r="J195" s="4"/>
      <c r="K195" s="4"/>
      <c r="L195" s="4"/>
      <c r="M195" s="4"/>
      <c r="N195" s="4"/>
      <c r="O195" s="4"/>
      <c r="P195" s="4"/>
      <c r="Q195" s="4"/>
      <c r="R195" s="135"/>
      <c r="S195" s="4"/>
      <c r="T195" s="4"/>
      <c r="U195" s="4"/>
      <c r="V195" s="4"/>
      <c r="W195" s="4"/>
      <c r="X195" s="4"/>
      <c r="Y195" s="4"/>
      <c r="Z195" s="4"/>
      <c r="AA195" s="4"/>
      <c r="AB195" s="5"/>
    </row>
    <row r="196" spans="1:28" x14ac:dyDescent="0.35">
      <c r="A196" s="3"/>
      <c r="B196" s="4"/>
      <c r="C196" s="4"/>
      <c r="D196" s="4"/>
      <c r="E196" s="4"/>
      <c r="F196" s="4"/>
      <c r="G196" s="4"/>
      <c r="H196" s="4"/>
      <c r="I196" s="4"/>
      <c r="J196" s="4"/>
      <c r="K196" s="4"/>
      <c r="L196" s="4"/>
      <c r="M196" s="4"/>
      <c r="N196" s="4"/>
      <c r="O196" s="4"/>
      <c r="P196" s="4"/>
      <c r="Q196" s="4"/>
      <c r="R196" s="135"/>
      <c r="S196" s="4"/>
      <c r="T196" s="4"/>
      <c r="U196" s="4"/>
      <c r="V196" s="4"/>
      <c r="W196" s="4"/>
      <c r="X196" s="4"/>
      <c r="Y196" s="4"/>
      <c r="Z196" s="4"/>
      <c r="AA196" s="4"/>
      <c r="AB196" s="5"/>
    </row>
    <row r="197" spans="1:28" x14ac:dyDescent="0.35">
      <c r="A197" s="3"/>
      <c r="B197" s="4"/>
      <c r="C197" s="4"/>
      <c r="D197" s="4"/>
      <c r="E197" s="4"/>
      <c r="F197" s="4"/>
      <c r="G197" s="4"/>
      <c r="H197" s="4"/>
      <c r="I197" s="4"/>
      <c r="J197" s="4"/>
      <c r="K197" s="4"/>
      <c r="L197" s="4"/>
      <c r="M197" s="4"/>
      <c r="N197" s="4"/>
      <c r="O197" s="4"/>
      <c r="P197" s="4"/>
      <c r="Q197" s="4"/>
      <c r="R197" s="135"/>
      <c r="S197" s="4"/>
      <c r="T197" s="4"/>
      <c r="U197" s="4"/>
      <c r="V197" s="4"/>
      <c r="W197" s="4"/>
      <c r="X197" s="4"/>
      <c r="Y197" s="4"/>
      <c r="Z197" s="4"/>
      <c r="AA197" s="4"/>
      <c r="AB197" s="5"/>
    </row>
    <row r="198" spans="1:28" x14ac:dyDescent="0.35">
      <c r="A198" s="3"/>
      <c r="B198" s="4"/>
      <c r="C198" s="4"/>
      <c r="D198" s="4"/>
      <c r="E198" s="4"/>
      <c r="F198" s="4"/>
      <c r="G198" s="4"/>
      <c r="H198" s="4"/>
      <c r="I198" s="4"/>
      <c r="J198" s="4"/>
      <c r="K198" s="4"/>
      <c r="L198" s="4"/>
      <c r="M198" s="4"/>
      <c r="N198" s="4"/>
      <c r="O198" s="4"/>
      <c r="P198" s="4"/>
      <c r="Q198" s="4"/>
      <c r="R198" s="135"/>
      <c r="S198" s="4"/>
      <c r="T198" s="4"/>
      <c r="U198" s="4"/>
      <c r="V198" s="4"/>
      <c r="W198" s="4"/>
      <c r="X198" s="4"/>
      <c r="Y198" s="4"/>
      <c r="Z198" s="4"/>
      <c r="AA198" s="4"/>
      <c r="AB198" s="5"/>
    </row>
    <row r="199" spans="1:28" x14ac:dyDescent="0.35">
      <c r="A199" s="3"/>
      <c r="B199" s="4"/>
      <c r="C199" s="4"/>
      <c r="D199" s="4"/>
      <c r="E199" s="4"/>
      <c r="F199" s="4"/>
      <c r="G199" s="4"/>
      <c r="H199" s="4"/>
      <c r="I199" s="4"/>
      <c r="J199" s="4"/>
      <c r="K199" s="4"/>
      <c r="L199" s="4"/>
      <c r="M199" s="4"/>
      <c r="N199" s="4"/>
      <c r="O199" s="4"/>
      <c r="P199" s="4"/>
      <c r="Q199" s="4"/>
      <c r="R199" s="135"/>
      <c r="S199" s="4"/>
      <c r="T199" s="4"/>
      <c r="U199" s="4"/>
      <c r="V199" s="4"/>
      <c r="W199" s="4"/>
      <c r="X199" s="4"/>
      <c r="Y199" s="4"/>
      <c r="Z199" s="4"/>
      <c r="AA199" s="4"/>
      <c r="AB199" s="5"/>
    </row>
    <row r="200" spans="1:28" x14ac:dyDescent="0.35">
      <c r="A200" s="3"/>
      <c r="B200" s="4"/>
      <c r="C200" s="4"/>
      <c r="D200" s="4"/>
      <c r="E200" s="4"/>
      <c r="F200" s="4"/>
      <c r="G200" s="4"/>
      <c r="H200" s="4"/>
      <c r="I200" s="4"/>
      <c r="J200" s="4"/>
      <c r="K200" s="4"/>
      <c r="L200" s="4"/>
      <c r="M200" s="4"/>
      <c r="N200" s="4"/>
      <c r="O200" s="4"/>
      <c r="P200" s="4"/>
      <c r="Q200" s="4"/>
      <c r="R200" s="135"/>
      <c r="S200" s="4"/>
      <c r="T200" s="4"/>
      <c r="U200" s="4"/>
      <c r="V200" s="4"/>
      <c r="W200" s="4"/>
      <c r="X200" s="4"/>
      <c r="Y200" s="4"/>
      <c r="Z200" s="4"/>
      <c r="AA200" s="4"/>
      <c r="AB200" s="5"/>
    </row>
    <row r="201" spans="1:28" x14ac:dyDescent="0.35">
      <c r="A201" s="3"/>
      <c r="B201" s="4"/>
      <c r="C201" s="4"/>
      <c r="D201" s="4"/>
      <c r="E201" s="4"/>
      <c r="F201" s="4"/>
      <c r="G201" s="4"/>
      <c r="H201" s="4"/>
      <c r="I201" s="4"/>
      <c r="J201" s="4"/>
      <c r="K201" s="4"/>
      <c r="L201" s="4"/>
      <c r="M201" s="4"/>
      <c r="N201" s="4"/>
      <c r="O201" s="4"/>
      <c r="P201" s="4"/>
      <c r="Q201" s="4"/>
      <c r="R201" s="135"/>
      <c r="S201" s="4"/>
      <c r="T201" s="4"/>
      <c r="U201" s="4"/>
      <c r="V201" s="4"/>
      <c r="W201" s="4"/>
      <c r="X201" s="4"/>
      <c r="Y201" s="4"/>
      <c r="Z201" s="4"/>
      <c r="AA201" s="4"/>
      <c r="AB201" s="5"/>
    </row>
    <row r="202" spans="1:28" x14ac:dyDescent="0.35">
      <c r="A202" s="3"/>
      <c r="B202" s="4"/>
      <c r="C202" s="4"/>
      <c r="D202" s="4"/>
      <c r="E202" s="4"/>
      <c r="F202" s="4"/>
      <c r="G202" s="4"/>
      <c r="H202" s="4"/>
      <c r="I202" s="4"/>
      <c r="J202" s="4"/>
      <c r="K202" s="4"/>
      <c r="L202" s="4"/>
      <c r="M202" s="4"/>
      <c r="N202" s="4"/>
      <c r="O202" s="4"/>
      <c r="P202" s="4"/>
      <c r="Q202" s="4"/>
      <c r="R202" s="135"/>
      <c r="S202" s="4"/>
      <c r="T202" s="4"/>
      <c r="U202" s="4"/>
      <c r="V202" s="4"/>
      <c r="W202" s="4"/>
      <c r="X202" s="4"/>
      <c r="Y202" s="4"/>
      <c r="Z202" s="4"/>
      <c r="AA202" s="4"/>
      <c r="AB202" s="5"/>
    </row>
    <row r="203" spans="1:28" x14ac:dyDescent="0.35">
      <c r="A203" s="3"/>
      <c r="B203" s="4"/>
      <c r="C203" s="4"/>
      <c r="D203" s="4"/>
      <c r="E203" s="4"/>
      <c r="F203" s="4"/>
      <c r="G203" s="4"/>
      <c r="H203" s="4"/>
      <c r="I203" s="4"/>
      <c r="J203" s="4"/>
      <c r="K203" s="4"/>
      <c r="L203" s="4"/>
      <c r="M203" s="4"/>
      <c r="N203" s="4"/>
      <c r="O203" s="4"/>
      <c r="P203" s="4"/>
      <c r="Q203" s="4"/>
      <c r="R203" s="135"/>
      <c r="S203" s="4"/>
      <c r="T203" s="4"/>
      <c r="U203" s="4"/>
      <c r="V203" s="4"/>
      <c r="W203" s="4"/>
      <c r="X203" s="4"/>
      <c r="Y203" s="4"/>
      <c r="Z203" s="4"/>
      <c r="AA203" s="4"/>
      <c r="AB203" s="5"/>
    </row>
    <row r="204" spans="1:28" x14ac:dyDescent="0.35">
      <c r="A204" s="3"/>
      <c r="B204" s="4"/>
      <c r="C204" s="4"/>
      <c r="D204" s="4"/>
      <c r="E204" s="4"/>
      <c r="F204" s="4"/>
      <c r="G204" s="4"/>
      <c r="H204" s="4"/>
      <c r="I204" s="4"/>
      <c r="J204" s="4"/>
      <c r="K204" s="4"/>
      <c r="L204" s="4"/>
      <c r="M204" s="4"/>
      <c r="N204" s="4"/>
      <c r="O204" s="4"/>
      <c r="P204" s="4"/>
      <c r="Q204" s="4"/>
      <c r="R204" s="135"/>
      <c r="S204" s="4"/>
      <c r="T204" s="4"/>
      <c r="U204" s="4"/>
      <c r="V204" s="4"/>
      <c r="W204" s="4"/>
      <c r="X204" s="4"/>
      <c r="Y204" s="4"/>
      <c r="Z204" s="4"/>
      <c r="AA204" s="4"/>
      <c r="AB204" s="5"/>
    </row>
    <row r="205" spans="1:28" x14ac:dyDescent="0.35">
      <c r="A205" s="3"/>
      <c r="B205" s="4"/>
      <c r="C205" s="4"/>
      <c r="D205" s="4"/>
      <c r="E205" s="4"/>
      <c r="F205" s="4"/>
      <c r="G205" s="4"/>
      <c r="H205" s="4"/>
      <c r="I205" s="4"/>
      <c r="J205" s="4"/>
      <c r="K205" s="4"/>
      <c r="L205" s="4"/>
      <c r="M205" s="4"/>
      <c r="N205" s="4"/>
      <c r="O205" s="4"/>
      <c r="P205" s="4"/>
      <c r="Q205" s="4"/>
      <c r="R205" s="135"/>
      <c r="S205" s="4"/>
      <c r="T205" s="4"/>
      <c r="U205" s="4"/>
      <c r="V205" s="4"/>
      <c r="W205" s="4"/>
      <c r="X205" s="4"/>
      <c r="Y205" s="4"/>
      <c r="Z205" s="4"/>
      <c r="AA205" s="4"/>
      <c r="AB205" s="5"/>
    </row>
    <row r="206" spans="1:28" x14ac:dyDescent="0.35">
      <c r="A206" s="3"/>
      <c r="B206" s="4"/>
      <c r="C206" s="4"/>
      <c r="D206" s="4"/>
      <c r="E206" s="4"/>
      <c r="F206" s="4"/>
      <c r="G206" s="4"/>
      <c r="H206" s="4"/>
      <c r="I206" s="4"/>
      <c r="J206" s="4"/>
      <c r="K206" s="4"/>
      <c r="L206" s="4"/>
      <c r="M206" s="4"/>
      <c r="N206" s="4"/>
      <c r="O206" s="4"/>
      <c r="P206" s="4"/>
      <c r="Q206" s="4"/>
      <c r="R206" s="135"/>
      <c r="S206" s="4"/>
      <c r="T206" s="4"/>
      <c r="U206" s="4"/>
      <c r="V206" s="4"/>
      <c r="W206" s="4"/>
      <c r="X206" s="4"/>
      <c r="Y206" s="4"/>
      <c r="Z206" s="4"/>
      <c r="AA206" s="4"/>
      <c r="AB206" s="5"/>
    </row>
    <row r="207" spans="1:28" x14ac:dyDescent="0.35">
      <c r="A207" s="3"/>
      <c r="B207" s="4"/>
      <c r="C207" s="4"/>
      <c r="D207" s="4"/>
      <c r="E207" s="4"/>
      <c r="F207" s="4"/>
      <c r="G207" s="4"/>
      <c r="H207" s="4"/>
      <c r="I207" s="4"/>
      <c r="J207" s="4"/>
      <c r="K207" s="4"/>
      <c r="L207" s="4"/>
      <c r="M207" s="4"/>
      <c r="N207" s="4"/>
      <c r="O207" s="4"/>
      <c r="P207" s="4"/>
      <c r="Q207" s="4"/>
      <c r="R207" s="135"/>
      <c r="S207" s="4"/>
      <c r="T207" s="4"/>
      <c r="U207" s="4"/>
      <c r="V207" s="4"/>
      <c r="W207" s="4"/>
      <c r="X207" s="4"/>
      <c r="Y207" s="4"/>
      <c r="Z207" s="4"/>
      <c r="AA207" s="4"/>
      <c r="AB207" s="5"/>
    </row>
    <row r="208" spans="1:28" x14ac:dyDescent="0.35">
      <c r="A208" s="3"/>
      <c r="B208" s="4"/>
      <c r="C208" s="4"/>
      <c r="D208" s="4"/>
      <c r="E208" s="4"/>
      <c r="F208" s="4"/>
      <c r="G208" s="4"/>
      <c r="H208" s="4"/>
      <c r="I208" s="4"/>
      <c r="J208" s="4"/>
      <c r="K208" s="4"/>
      <c r="L208" s="4"/>
      <c r="M208" s="4"/>
      <c r="N208" s="4"/>
      <c r="O208" s="4"/>
      <c r="P208" s="4"/>
      <c r="Q208" s="4"/>
      <c r="R208" s="135"/>
      <c r="S208" s="4"/>
      <c r="T208" s="4"/>
      <c r="U208" s="4"/>
      <c r="V208" s="4"/>
      <c r="W208" s="4"/>
      <c r="X208" s="4"/>
      <c r="Y208" s="4"/>
      <c r="Z208" s="4"/>
      <c r="AA208" s="4"/>
      <c r="AB208" s="5"/>
    </row>
    <row r="209" spans="1:28" x14ac:dyDescent="0.35">
      <c r="A209" s="3"/>
      <c r="B209" s="4"/>
      <c r="C209" s="4"/>
      <c r="D209" s="4"/>
      <c r="E209" s="4"/>
      <c r="F209" s="4"/>
      <c r="G209" s="4"/>
      <c r="H209" s="4"/>
      <c r="I209" s="4"/>
      <c r="J209" s="4"/>
      <c r="K209" s="4"/>
      <c r="L209" s="4"/>
      <c r="M209" s="4"/>
      <c r="N209" s="4"/>
      <c r="O209" s="4"/>
      <c r="P209" s="4"/>
      <c r="Q209" s="4"/>
      <c r="R209" s="135"/>
      <c r="S209" s="4"/>
      <c r="T209" s="4"/>
      <c r="U209" s="4"/>
      <c r="V209" s="4"/>
      <c r="W209" s="4"/>
      <c r="X209" s="4"/>
      <c r="Y209" s="4"/>
      <c r="Z209" s="4"/>
      <c r="AA209" s="4"/>
      <c r="AB209" s="5"/>
    </row>
    <row r="210" spans="1:28" x14ac:dyDescent="0.35">
      <c r="A210" s="3"/>
      <c r="B210" s="4"/>
      <c r="C210" s="4"/>
      <c r="D210" s="4"/>
      <c r="E210" s="4"/>
      <c r="F210" s="4"/>
      <c r="G210" s="4"/>
      <c r="H210" s="4"/>
      <c r="I210" s="4"/>
      <c r="J210" s="4"/>
      <c r="K210" s="4"/>
      <c r="L210" s="4"/>
      <c r="M210" s="4"/>
      <c r="N210" s="4"/>
      <c r="O210" s="4"/>
      <c r="P210" s="4"/>
      <c r="Q210" s="4"/>
      <c r="R210" s="135"/>
      <c r="S210" s="4"/>
      <c r="T210" s="4"/>
      <c r="U210" s="4"/>
      <c r="V210" s="4"/>
      <c r="W210" s="4"/>
      <c r="X210" s="4"/>
      <c r="Y210" s="4"/>
      <c r="Z210" s="4"/>
      <c r="AA210" s="4"/>
      <c r="AB210" s="5"/>
    </row>
    <row r="211" spans="1:28" x14ac:dyDescent="0.35">
      <c r="A211" s="3"/>
      <c r="B211" s="4"/>
      <c r="C211" s="4"/>
      <c r="D211" s="4"/>
      <c r="E211" s="4"/>
      <c r="F211" s="4"/>
      <c r="G211" s="4"/>
      <c r="H211" s="4"/>
      <c r="I211" s="4"/>
      <c r="J211" s="4"/>
      <c r="K211" s="4"/>
      <c r="L211" s="4"/>
      <c r="M211" s="4"/>
      <c r="N211" s="4"/>
      <c r="O211" s="4"/>
      <c r="P211" s="4"/>
      <c r="Q211" s="4"/>
      <c r="R211" s="135"/>
      <c r="S211" s="4"/>
      <c r="T211" s="4"/>
      <c r="U211" s="4"/>
      <c r="V211" s="4"/>
      <c r="W211" s="4"/>
      <c r="X211" s="4"/>
      <c r="Y211" s="4"/>
      <c r="Z211" s="4"/>
      <c r="AA211" s="4"/>
      <c r="AB211" s="5"/>
    </row>
    <row r="212" spans="1:28" x14ac:dyDescent="0.35">
      <c r="A212" s="3"/>
      <c r="B212" s="4"/>
      <c r="C212" s="4"/>
      <c r="D212" s="4"/>
      <c r="E212" s="4"/>
      <c r="F212" s="4"/>
      <c r="G212" s="4"/>
      <c r="H212" s="4"/>
      <c r="I212" s="4"/>
      <c r="J212" s="4"/>
      <c r="K212" s="4"/>
      <c r="L212" s="4"/>
      <c r="M212" s="4"/>
      <c r="N212" s="4"/>
      <c r="O212" s="4"/>
      <c r="P212" s="4"/>
      <c r="Q212" s="4"/>
      <c r="R212" s="135"/>
      <c r="S212" s="4"/>
      <c r="T212" s="4"/>
      <c r="U212" s="4"/>
      <c r="V212" s="4"/>
      <c r="W212" s="4"/>
      <c r="X212" s="4"/>
      <c r="Y212" s="4"/>
      <c r="Z212" s="4"/>
      <c r="AA212" s="4"/>
      <c r="AB212" s="5"/>
    </row>
    <row r="213" spans="1:28" x14ac:dyDescent="0.35">
      <c r="A213" s="3"/>
      <c r="B213" s="4"/>
      <c r="C213" s="4"/>
      <c r="D213" s="4"/>
      <c r="E213" s="4"/>
      <c r="F213" s="4"/>
      <c r="G213" s="4"/>
      <c r="H213" s="4"/>
      <c r="I213" s="4"/>
      <c r="J213" s="4"/>
      <c r="K213" s="4"/>
      <c r="L213" s="4"/>
      <c r="M213" s="4"/>
      <c r="N213" s="4"/>
      <c r="O213" s="4"/>
      <c r="P213" s="4"/>
      <c r="Q213" s="4"/>
      <c r="R213" s="135"/>
      <c r="S213" s="4"/>
      <c r="T213" s="4"/>
      <c r="U213" s="4"/>
      <c r="V213" s="4"/>
      <c r="W213" s="4"/>
      <c r="X213" s="4"/>
      <c r="Y213" s="4"/>
      <c r="Z213" s="4"/>
      <c r="AA213" s="4"/>
      <c r="AB213" s="5"/>
    </row>
    <row r="214" spans="1:28" x14ac:dyDescent="0.35">
      <c r="A214" s="3"/>
      <c r="B214" s="4"/>
      <c r="C214" s="4"/>
      <c r="D214" s="4"/>
      <c r="E214" s="4"/>
      <c r="F214" s="4"/>
      <c r="G214" s="4"/>
      <c r="H214" s="4"/>
      <c r="I214" s="4"/>
      <c r="J214" s="4"/>
      <c r="K214" s="4"/>
      <c r="L214" s="4"/>
      <c r="M214" s="4"/>
      <c r="N214" s="4"/>
      <c r="O214" s="4"/>
      <c r="P214" s="4"/>
      <c r="Q214" s="4"/>
      <c r="R214" s="135"/>
      <c r="S214" s="4"/>
      <c r="T214" s="4"/>
      <c r="U214" s="4"/>
      <c r="V214" s="4"/>
      <c r="W214" s="4"/>
      <c r="X214" s="4"/>
      <c r="Y214" s="4"/>
      <c r="Z214" s="4"/>
      <c r="AA214" s="4"/>
      <c r="AB214" s="5"/>
    </row>
    <row r="215" spans="1:28" x14ac:dyDescent="0.35">
      <c r="A215" s="3"/>
      <c r="B215" s="4"/>
      <c r="C215" s="4"/>
      <c r="D215" s="4"/>
      <c r="E215" s="4"/>
      <c r="F215" s="4"/>
      <c r="G215" s="4"/>
      <c r="H215" s="4"/>
      <c r="I215" s="4"/>
      <c r="J215" s="4"/>
      <c r="K215" s="4"/>
      <c r="L215" s="4"/>
      <c r="M215" s="4"/>
      <c r="N215" s="4"/>
      <c r="O215" s="4"/>
      <c r="P215" s="4"/>
      <c r="Q215" s="4"/>
      <c r="R215" s="135"/>
      <c r="S215" s="4"/>
      <c r="T215" s="4"/>
      <c r="U215" s="4"/>
      <c r="V215" s="4"/>
      <c r="W215" s="4"/>
      <c r="X215" s="4"/>
      <c r="Y215" s="4"/>
      <c r="Z215" s="4"/>
      <c r="AA215" s="4"/>
      <c r="AB215" s="5"/>
    </row>
    <row r="216" spans="1:28" x14ac:dyDescent="0.35">
      <c r="A216" s="3"/>
      <c r="B216" s="4"/>
      <c r="C216" s="4"/>
      <c r="D216" s="4"/>
      <c r="E216" s="4"/>
      <c r="F216" s="4"/>
      <c r="G216" s="4"/>
      <c r="H216" s="4"/>
      <c r="I216" s="4"/>
      <c r="J216" s="4"/>
      <c r="K216" s="4"/>
      <c r="L216" s="4"/>
      <c r="M216" s="4"/>
      <c r="N216" s="4"/>
      <c r="O216" s="4"/>
      <c r="P216" s="4"/>
      <c r="Q216" s="4"/>
      <c r="R216" s="135"/>
      <c r="S216" s="4"/>
      <c r="T216" s="4"/>
      <c r="U216" s="4"/>
      <c r="V216" s="4"/>
      <c r="W216" s="4"/>
      <c r="X216" s="4"/>
      <c r="Y216" s="4"/>
      <c r="Z216" s="4"/>
      <c r="AA216" s="4"/>
      <c r="AB216" s="5"/>
    </row>
    <row r="217" spans="1:28" x14ac:dyDescent="0.35">
      <c r="A217" s="3"/>
      <c r="B217" s="4"/>
      <c r="C217" s="4"/>
      <c r="D217" s="4"/>
      <c r="E217" s="4"/>
      <c r="F217" s="4"/>
      <c r="G217" s="4"/>
      <c r="H217" s="4"/>
      <c r="I217" s="4"/>
      <c r="J217" s="4"/>
      <c r="K217" s="4"/>
      <c r="L217" s="4"/>
      <c r="M217" s="4"/>
      <c r="N217" s="4"/>
      <c r="O217" s="4"/>
      <c r="P217" s="4"/>
      <c r="Q217" s="4"/>
      <c r="R217" s="135"/>
      <c r="S217" s="4"/>
      <c r="T217" s="4"/>
      <c r="U217" s="4"/>
      <c r="V217" s="4"/>
      <c r="W217" s="4"/>
      <c r="X217" s="4"/>
      <c r="Y217" s="4"/>
      <c r="Z217" s="4"/>
      <c r="AA217" s="4"/>
      <c r="AB217" s="5"/>
    </row>
    <row r="218" spans="1:28" x14ac:dyDescent="0.35">
      <c r="A218" s="3"/>
      <c r="B218" s="4"/>
      <c r="C218" s="4"/>
      <c r="D218" s="4"/>
      <c r="E218" s="4"/>
      <c r="F218" s="4"/>
      <c r="G218" s="4"/>
      <c r="H218" s="4"/>
      <c r="I218" s="4"/>
      <c r="J218" s="4"/>
      <c r="K218" s="4"/>
      <c r="L218" s="4"/>
      <c r="M218" s="4"/>
      <c r="N218" s="4"/>
      <c r="O218" s="4"/>
      <c r="P218" s="4"/>
      <c r="Q218" s="4"/>
      <c r="R218" s="135"/>
      <c r="S218" s="4"/>
      <c r="T218" s="4"/>
      <c r="U218" s="4"/>
      <c r="V218" s="4"/>
      <c r="W218" s="4"/>
      <c r="X218" s="4"/>
      <c r="Y218" s="4"/>
      <c r="Z218" s="4"/>
      <c r="AA218" s="4"/>
      <c r="AB218" s="5"/>
    </row>
    <row r="219" spans="1:28" x14ac:dyDescent="0.35">
      <c r="A219" s="3"/>
      <c r="B219" s="4"/>
      <c r="C219" s="4"/>
      <c r="D219" s="4"/>
      <c r="E219" s="4"/>
      <c r="F219" s="4"/>
      <c r="G219" s="4"/>
      <c r="H219" s="4"/>
      <c r="I219" s="4"/>
      <c r="J219" s="4"/>
      <c r="K219" s="4"/>
      <c r="L219" s="4"/>
      <c r="M219" s="4"/>
      <c r="N219" s="4"/>
      <c r="O219" s="4"/>
      <c r="P219" s="4"/>
      <c r="Q219" s="4"/>
      <c r="R219" s="135"/>
      <c r="S219" s="4"/>
      <c r="T219" s="4"/>
      <c r="U219" s="4"/>
      <c r="V219" s="4"/>
      <c r="W219" s="4"/>
      <c r="X219" s="4"/>
      <c r="Y219" s="4"/>
      <c r="Z219" s="4"/>
      <c r="AA219" s="4"/>
      <c r="AB219" s="5"/>
    </row>
    <row r="220" spans="1:28" x14ac:dyDescent="0.35">
      <c r="A220" s="3"/>
      <c r="B220" s="4"/>
      <c r="C220" s="4"/>
      <c r="D220" s="4"/>
      <c r="E220" s="4"/>
      <c r="F220" s="4"/>
      <c r="G220" s="4"/>
      <c r="H220" s="4"/>
      <c r="I220" s="4"/>
      <c r="J220" s="4"/>
      <c r="K220" s="4"/>
      <c r="L220" s="4"/>
      <c r="M220" s="4"/>
      <c r="N220" s="4"/>
      <c r="O220" s="4"/>
      <c r="P220" s="4"/>
      <c r="Q220" s="4"/>
      <c r="R220" s="135"/>
      <c r="S220" s="4"/>
      <c r="T220" s="4"/>
      <c r="U220" s="4"/>
      <c r="V220" s="4"/>
      <c r="W220" s="4"/>
      <c r="X220" s="4"/>
      <c r="Y220" s="4"/>
      <c r="Z220" s="4"/>
      <c r="AA220" s="4"/>
      <c r="AB220" s="5"/>
    </row>
    <row r="221" spans="1:28" x14ac:dyDescent="0.35">
      <c r="A221" s="3"/>
      <c r="B221" s="4"/>
      <c r="C221" s="4"/>
      <c r="D221" s="4"/>
      <c r="E221" s="4"/>
      <c r="F221" s="4"/>
      <c r="G221" s="4"/>
      <c r="H221" s="4"/>
      <c r="I221" s="4"/>
      <c r="J221" s="4"/>
      <c r="K221" s="4"/>
      <c r="L221" s="4"/>
      <c r="M221" s="4"/>
      <c r="N221" s="4"/>
      <c r="O221" s="4"/>
      <c r="P221" s="4"/>
      <c r="Q221" s="4"/>
      <c r="R221" s="135"/>
      <c r="S221" s="4"/>
      <c r="T221" s="4"/>
      <c r="U221" s="4"/>
      <c r="V221" s="4"/>
      <c r="W221" s="4"/>
      <c r="X221" s="4"/>
      <c r="Y221" s="4"/>
      <c r="Z221" s="4"/>
      <c r="AA221" s="4"/>
      <c r="AB221" s="5"/>
    </row>
    <row r="222" spans="1:28" x14ac:dyDescent="0.35">
      <c r="A222" s="3"/>
      <c r="B222" s="4"/>
      <c r="C222" s="4"/>
      <c r="D222" s="4"/>
      <c r="E222" s="4"/>
      <c r="F222" s="4"/>
      <c r="G222" s="4"/>
      <c r="H222" s="4"/>
      <c r="I222" s="4"/>
      <c r="J222" s="4"/>
      <c r="K222" s="4"/>
      <c r="L222" s="4"/>
      <c r="M222" s="4"/>
      <c r="N222" s="4"/>
      <c r="O222" s="4"/>
      <c r="P222" s="4"/>
      <c r="Q222" s="4"/>
      <c r="R222" s="135"/>
      <c r="S222" s="4"/>
      <c r="T222" s="4"/>
      <c r="U222" s="4"/>
      <c r="V222" s="4"/>
      <c r="W222" s="4"/>
      <c r="X222" s="4"/>
      <c r="Y222" s="4"/>
      <c r="Z222" s="4"/>
      <c r="AA222" s="4"/>
      <c r="AB222" s="5"/>
    </row>
    <row r="223" spans="1:28" x14ac:dyDescent="0.35">
      <c r="A223" s="3"/>
      <c r="B223" s="4"/>
      <c r="C223" s="4"/>
      <c r="D223" s="4"/>
      <c r="E223" s="4"/>
      <c r="F223" s="4"/>
      <c r="G223" s="4"/>
      <c r="H223" s="4"/>
      <c r="I223" s="4"/>
      <c r="J223" s="4"/>
      <c r="K223" s="4"/>
      <c r="L223" s="4"/>
      <c r="M223" s="4"/>
      <c r="N223" s="4"/>
      <c r="O223" s="4"/>
      <c r="P223" s="4"/>
      <c r="Q223" s="4"/>
      <c r="R223" s="135"/>
      <c r="S223" s="4"/>
      <c r="T223" s="4"/>
      <c r="U223" s="4"/>
      <c r="V223" s="4"/>
      <c r="W223" s="4"/>
      <c r="X223" s="4"/>
      <c r="Y223" s="4"/>
      <c r="Z223" s="4"/>
      <c r="AA223" s="4"/>
      <c r="AB223" s="5"/>
    </row>
    <row r="224" spans="1:28" x14ac:dyDescent="0.35">
      <c r="A224" s="3"/>
      <c r="B224" s="4"/>
      <c r="C224" s="4"/>
      <c r="D224" s="4"/>
      <c r="E224" s="4"/>
      <c r="F224" s="4"/>
      <c r="G224" s="4"/>
      <c r="H224" s="4"/>
      <c r="I224" s="4"/>
      <c r="J224" s="4"/>
      <c r="K224" s="4"/>
      <c r="L224" s="4"/>
      <c r="M224" s="4"/>
      <c r="N224" s="4"/>
      <c r="O224" s="4"/>
      <c r="P224" s="4"/>
      <c r="Q224" s="4"/>
      <c r="R224" s="135"/>
      <c r="S224" s="4"/>
      <c r="T224" s="4"/>
      <c r="U224" s="4"/>
      <c r="V224" s="4"/>
      <c r="W224" s="4"/>
      <c r="X224" s="4"/>
      <c r="Y224" s="4"/>
      <c r="Z224" s="4"/>
      <c r="AA224" s="4"/>
      <c r="AB224" s="5"/>
    </row>
    <row r="225" spans="1:28" x14ac:dyDescent="0.35">
      <c r="A225" s="3"/>
      <c r="B225" s="4"/>
      <c r="C225" s="4"/>
      <c r="D225" s="4"/>
      <c r="E225" s="4"/>
      <c r="F225" s="4"/>
      <c r="G225" s="4"/>
      <c r="H225" s="4"/>
      <c r="I225" s="4"/>
      <c r="J225" s="4"/>
      <c r="K225" s="4"/>
      <c r="L225" s="4"/>
      <c r="M225" s="4"/>
      <c r="N225" s="4"/>
      <c r="O225" s="4"/>
      <c r="P225" s="4"/>
      <c r="Q225" s="4"/>
      <c r="R225" s="135"/>
      <c r="S225" s="4"/>
      <c r="T225" s="4"/>
      <c r="U225" s="4"/>
      <c r="V225" s="4"/>
      <c r="W225" s="4"/>
      <c r="X225" s="4"/>
      <c r="Y225" s="4"/>
      <c r="Z225" s="4"/>
      <c r="AA225" s="4"/>
      <c r="AB225" s="5"/>
    </row>
    <row r="226" spans="1:28" x14ac:dyDescent="0.35">
      <c r="A226" s="3"/>
      <c r="B226" s="4"/>
      <c r="C226" s="4"/>
      <c r="D226" s="4"/>
      <c r="E226" s="4"/>
      <c r="F226" s="4"/>
      <c r="G226" s="4"/>
      <c r="H226" s="4"/>
      <c r="I226" s="4"/>
      <c r="J226" s="4"/>
      <c r="K226" s="4"/>
      <c r="L226" s="4"/>
      <c r="M226" s="4"/>
      <c r="N226" s="4"/>
      <c r="O226" s="4"/>
      <c r="P226" s="4"/>
      <c r="Q226" s="4"/>
      <c r="R226" s="135"/>
      <c r="S226" s="4"/>
      <c r="T226" s="4"/>
      <c r="U226" s="4"/>
      <c r="V226" s="4"/>
      <c r="W226" s="4"/>
      <c r="X226" s="4"/>
      <c r="Y226" s="4"/>
      <c r="Z226" s="4"/>
      <c r="AA226" s="4"/>
      <c r="AB226" s="5"/>
    </row>
    <row r="227" spans="1:28" x14ac:dyDescent="0.35">
      <c r="A227" s="3"/>
      <c r="B227" s="4"/>
      <c r="C227" s="4"/>
      <c r="D227" s="4"/>
      <c r="E227" s="4"/>
      <c r="F227" s="4"/>
      <c r="G227" s="4"/>
      <c r="H227" s="4"/>
      <c r="I227" s="4"/>
      <c r="J227" s="4"/>
      <c r="K227" s="4"/>
      <c r="L227" s="4"/>
      <c r="M227" s="4"/>
      <c r="N227" s="4"/>
      <c r="O227" s="4"/>
      <c r="P227" s="4"/>
      <c r="Q227" s="4"/>
      <c r="R227" s="135"/>
      <c r="S227" s="4"/>
      <c r="T227" s="4"/>
      <c r="U227" s="4"/>
      <c r="V227" s="4"/>
      <c r="W227" s="4"/>
      <c r="X227" s="4"/>
      <c r="Y227" s="4"/>
      <c r="Z227" s="4"/>
      <c r="AA227" s="4"/>
      <c r="AB227" s="5"/>
    </row>
    <row r="228" spans="1:28" x14ac:dyDescent="0.35">
      <c r="A228" s="3"/>
      <c r="B228" s="4"/>
      <c r="C228" s="4"/>
      <c r="D228" s="4"/>
      <c r="E228" s="4"/>
      <c r="F228" s="4"/>
      <c r="G228" s="4"/>
      <c r="H228" s="4"/>
      <c r="I228" s="4"/>
      <c r="J228" s="4"/>
      <c r="K228" s="4"/>
      <c r="L228" s="4"/>
      <c r="M228" s="4"/>
      <c r="N228" s="4"/>
      <c r="O228" s="4"/>
      <c r="P228" s="4"/>
      <c r="Q228" s="4"/>
      <c r="R228" s="135"/>
      <c r="S228" s="4"/>
      <c r="T228" s="4"/>
      <c r="U228" s="4"/>
      <c r="V228" s="4"/>
      <c r="W228" s="4"/>
      <c r="X228" s="4"/>
      <c r="Y228" s="4"/>
      <c r="Z228" s="4"/>
      <c r="AA228" s="4"/>
      <c r="AB228" s="5"/>
    </row>
    <row r="229" spans="1:28" x14ac:dyDescent="0.35">
      <c r="A229" s="3"/>
      <c r="B229" s="4"/>
      <c r="C229" s="4"/>
      <c r="D229" s="4"/>
      <c r="E229" s="4"/>
      <c r="F229" s="4"/>
      <c r="G229" s="4"/>
      <c r="H229" s="4"/>
      <c r="I229" s="4"/>
      <c r="J229" s="4"/>
      <c r="K229" s="4"/>
      <c r="L229" s="4"/>
      <c r="M229" s="4"/>
      <c r="N229" s="4"/>
      <c r="O229" s="4"/>
      <c r="P229" s="4"/>
      <c r="Q229" s="4"/>
      <c r="R229" s="135"/>
      <c r="S229" s="4"/>
      <c r="T229" s="4"/>
      <c r="U229" s="4"/>
      <c r="V229" s="4"/>
      <c r="W229" s="4"/>
      <c r="X229" s="4"/>
      <c r="Y229" s="4"/>
      <c r="Z229" s="4"/>
      <c r="AA229" s="4"/>
      <c r="AB229" s="5"/>
    </row>
    <row r="230" spans="1:28" x14ac:dyDescent="0.35">
      <c r="A230" s="3"/>
      <c r="B230" s="4"/>
      <c r="C230" s="4"/>
      <c r="D230" s="4"/>
      <c r="E230" s="4"/>
      <c r="F230" s="4"/>
      <c r="G230" s="4"/>
      <c r="H230" s="4"/>
      <c r="I230" s="4"/>
      <c r="J230" s="4"/>
      <c r="K230" s="4"/>
      <c r="L230" s="4"/>
      <c r="M230" s="4"/>
      <c r="N230" s="4"/>
      <c r="O230" s="4"/>
      <c r="P230" s="4"/>
      <c r="Q230" s="4"/>
      <c r="R230" s="135"/>
      <c r="S230" s="4"/>
      <c r="T230" s="4"/>
      <c r="U230" s="4"/>
      <c r="V230" s="4"/>
      <c r="W230" s="4"/>
      <c r="X230" s="4"/>
      <c r="Y230" s="4"/>
      <c r="Z230" s="4"/>
      <c r="AA230" s="4"/>
      <c r="AB230" s="5"/>
    </row>
    <row r="231" spans="1:28" x14ac:dyDescent="0.35">
      <c r="A231" s="3"/>
      <c r="B231" s="4"/>
      <c r="C231" s="4"/>
      <c r="D231" s="4"/>
      <c r="E231" s="4"/>
      <c r="F231" s="4"/>
      <c r="G231" s="4"/>
      <c r="H231" s="4"/>
      <c r="I231" s="4"/>
      <c r="J231" s="4"/>
      <c r="K231" s="4"/>
      <c r="L231" s="4"/>
      <c r="M231" s="4"/>
      <c r="N231" s="4"/>
      <c r="O231" s="4"/>
      <c r="P231" s="4"/>
      <c r="Q231" s="4"/>
      <c r="R231" s="135"/>
      <c r="S231" s="4"/>
      <c r="T231" s="4"/>
      <c r="U231" s="4"/>
      <c r="V231" s="4"/>
      <c r="W231" s="4"/>
      <c r="X231" s="4"/>
      <c r="Y231" s="4"/>
      <c r="Z231" s="4"/>
      <c r="AA231" s="4"/>
      <c r="AB231" s="5"/>
    </row>
    <row r="232" spans="1:28" x14ac:dyDescent="0.35">
      <c r="A232" s="3"/>
      <c r="B232" s="4"/>
      <c r="C232" s="4"/>
      <c r="D232" s="4"/>
      <c r="E232" s="4"/>
      <c r="F232" s="4"/>
      <c r="G232" s="4"/>
      <c r="H232" s="4"/>
      <c r="I232" s="4"/>
      <c r="J232" s="4"/>
      <c r="K232" s="4"/>
      <c r="L232" s="4"/>
      <c r="M232" s="4"/>
      <c r="N232" s="4"/>
      <c r="O232" s="4"/>
      <c r="P232" s="4"/>
      <c r="Q232" s="4"/>
      <c r="R232" s="135"/>
      <c r="S232" s="4"/>
      <c r="T232" s="4"/>
      <c r="U232" s="4"/>
      <c r="V232" s="4"/>
      <c r="W232" s="4"/>
      <c r="X232" s="4"/>
      <c r="Y232" s="4"/>
      <c r="Z232" s="4"/>
      <c r="AA232" s="4"/>
      <c r="AB232" s="5"/>
    </row>
    <row r="233" spans="1:28" x14ac:dyDescent="0.35">
      <c r="A233" s="3"/>
      <c r="B233" s="4"/>
      <c r="C233" s="4"/>
      <c r="D233" s="4"/>
      <c r="E233" s="4"/>
      <c r="F233" s="4"/>
      <c r="G233" s="4"/>
      <c r="H233" s="4"/>
      <c r="I233" s="4"/>
      <c r="J233" s="4"/>
      <c r="K233" s="4"/>
      <c r="L233" s="4"/>
      <c r="M233" s="4"/>
      <c r="N233" s="4"/>
      <c r="O233" s="4"/>
      <c r="P233" s="4"/>
      <c r="Q233" s="4"/>
      <c r="R233" s="135"/>
      <c r="S233" s="4"/>
      <c r="T233" s="4"/>
      <c r="U233" s="4"/>
      <c r="V233" s="4"/>
      <c r="W233" s="4"/>
      <c r="X233" s="4"/>
      <c r="Y233" s="4"/>
      <c r="Z233" s="4"/>
      <c r="AA233" s="4"/>
      <c r="AB233" s="5"/>
    </row>
    <row r="234" spans="1:28" x14ac:dyDescent="0.35">
      <c r="A234" s="3"/>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5"/>
    </row>
    <row r="235" spans="1:28" x14ac:dyDescent="0.35">
      <c r="A235" s="3"/>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5"/>
    </row>
    <row r="236" spans="1:28" x14ac:dyDescent="0.35">
      <c r="A236" s="3"/>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5"/>
    </row>
    <row r="237" spans="1:28" x14ac:dyDescent="0.35">
      <c r="A237" s="3"/>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5"/>
    </row>
    <row r="238" spans="1:28" x14ac:dyDescent="0.35">
      <c r="A238" s="3"/>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5"/>
    </row>
    <row r="239" spans="1:28" x14ac:dyDescent="0.35">
      <c r="A239" s="3"/>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5"/>
    </row>
    <row r="240" spans="1:28" x14ac:dyDescent="0.35">
      <c r="A240" s="3"/>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5"/>
    </row>
    <row r="241" spans="1:28" x14ac:dyDescent="0.35">
      <c r="A241" s="3"/>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5"/>
    </row>
    <row r="242" spans="1:28" x14ac:dyDescent="0.35">
      <c r="A242" s="3"/>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5"/>
    </row>
    <row r="243" spans="1:28" x14ac:dyDescent="0.35">
      <c r="A243" s="3"/>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5"/>
    </row>
    <row r="244" spans="1:28" x14ac:dyDescent="0.35">
      <c r="A244" s="3"/>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5"/>
    </row>
    <row r="245" spans="1:28" x14ac:dyDescent="0.35">
      <c r="A245" s="3"/>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5"/>
    </row>
    <row r="246" spans="1:28" x14ac:dyDescent="0.35">
      <c r="A246" s="3"/>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5"/>
    </row>
    <row r="247" spans="1:28" x14ac:dyDescent="0.35">
      <c r="A247" s="3"/>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5"/>
    </row>
    <row r="248" spans="1:28" x14ac:dyDescent="0.35">
      <c r="A248" s="3"/>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5"/>
    </row>
    <row r="249" spans="1:28" x14ac:dyDescent="0.35">
      <c r="A249" s="3"/>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5"/>
    </row>
    <row r="250" spans="1:28" x14ac:dyDescent="0.35">
      <c r="A250" s="3"/>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5"/>
    </row>
    <row r="251" spans="1:28" x14ac:dyDescent="0.35">
      <c r="A251" s="3"/>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5"/>
    </row>
    <row r="252" spans="1:28" x14ac:dyDescent="0.35">
      <c r="A252" s="3"/>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5"/>
    </row>
    <row r="253" spans="1:28" x14ac:dyDescent="0.35">
      <c r="A253" s="3"/>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5"/>
    </row>
    <row r="254" spans="1:28" x14ac:dyDescent="0.35">
      <c r="A254" s="3"/>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5"/>
    </row>
    <row r="255" spans="1:28" x14ac:dyDescent="0.35">
      <c r="A255" s="3"/>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5"/>
    </row>
    <row r="256" spans="1:28" x14ac:dyDescent="0.35">
      <c r="A256" s="3"/>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5"/>
    </row>
    <row r="257" spans="1:28" x14ac:dyDescent="0.35">
      <c r="A257" s="3"/>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5"/>
    </row>
    <row r="258" spans="1:28" x14ac:dyDescent="0.35">
      <c r="A258" s="3"/>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5"/>
    </row>
    <row r="259" spans="1:28" x14ac:dyDescent="0.35">
      <c r="A259" s="3"/>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5"/>
    </row>
    <row r="260" spans="1:28" x14ac:dyDescent="0.35">
      <c r="A260" s="3"/>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5"/>
    </row>
    <row r="261" spans="1:28" x14ac:dyDescent="0.35">
      <c r="A261" s="3"/>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5"/>
    </row>
    <row r="262" spans="1:28" x14ac:dyDescent="0.35">
      <c r="A262" s="3"/>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5"/>
    </row>
    <row r="263" spans="1:28" x14ac:dyDescent="0.35">
      <c r="A263" s="3"/>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5"/>
    </row>
    <row r="264" spans="1:28" x14ac:dyDescent="0.35">
      <c r="A264" s="3"/>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5"/>
    </row>
    <row r="265" spans="1:28" x14ac:dyDescent="0.35">
      <c r="A265" s="3"/>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5"/>
    </row>
    <row r="266" spans="1:28" x14ac:dyDescent="0.35">
      <c r="A266" s="3"/>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5"/>
    </row>
    <row r="267" spans="1:28" x14ac:dyDescent="0.35">
      <c r="A267" s="3"/>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5"/>
    </row>
    <row r="268" spans="1:28" x14ac:dyDescent="0.35">
      <c r="A268" s="3"/>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5"/>
    </row>
    <row r="269" spans="1:28" x14ac:dyDescent="0.35">
      <c r="A269" s="3"/>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5"/>
    </row>
    <row r="270" spans="1:28" x14ac:dyDescent="0.35">
      <c r="A270" s="3"/>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5"/>
    </row>
    <row r="271" spans="1:28" x14ac:dyDescent="0.35">
      <c r="A271" s="3"/>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5"/>
    </row>
    <row r="272" spans="1:28" x14ac:dyDescent="0.35">
      <c r="A272" s="3"/>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5"/>
    </row>
    <row r="273" spans="1:28" x14ac:dyDescent="0.35">
      <c r="A273" s="3"/>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5"/>
    </row>
    <row r="274" spans="1:28" x14ac:dyDescent="0.35">
      <c r="A274" s="3"/>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5"/>
    </row>
    <row r="275" spans="1:28" x14ac:dyDescent="0.35">
      <c r="A275" s="3"/>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5"/>
    </row>
    <row r="276" spans="1:28" x14ac:dyDescent="0.35">
      <c r="A276" s="3"/>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5"/>
    </row>
    <row r="277" spans="1:28" x14ac:dyDescent="0.35">
      <c r="A277" s="3"/>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5"/>
    </row>
    <row r="278" spans="1:28" x14ac:dyDescent="0.35">
      <c r="A278" s="3"/>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5"/>
    </row>
    <row r="279" spans="1:28" x14ac:dyDescent="0.35">
      <c r="A279" s="3"/>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5"/>
    </row>
    <row r="280" spans="1:28" x14ac:dyDescent="0.35">
      <c r="A280" s="3"/>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5"/>
    </row>
    <row r="281" spans="1:28" x14ac:dyDescent="0.35">
      <c r="A281" s="3"/>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5"/>
    </row>
    <row r="282" spans="1:28" x14ac:dyDescent="0.35">
      <c r="A282" s="3"/>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5"/>
    </row>
    <row r="283" spans="1:28" x14ac:dyDescent="0.35">
      <c r="A283" s="3"/>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5"/>
    </row>
    <row r="284" spans="1:28" x14ac:dyDescent="0.35">
      <c r="A284" s="3"/>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5"/>
    </row>
    <row r="285" spans="1:28" x14ac:dyDescent="0.35">
      <c r="A285" s="3"/>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5"/>
    </row>
    <row r="286" spans="1:28" x14ac:dyDescent="0.35">
      <c r="A286" s="3"/>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5"/>
    </row>
    <row r="287" spans="1:28" x14ac:dyDescent="0.35">
      <c r="A287" s="3"/>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5"/>
    </row>
    <row r="288" spans="1:28" x14ac:dyDescent="0.35">
      <c r="A288" s="3"/>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5"/>
    </row>
    <row r="289" spans="1:28" x14ac:dyDescent="0.35">
      <c r="A289" s="3"/>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5"/>
    </row>
    <row r="290" spans="1:28" x14ac:dyDescent="0.35">
      <c r="A290" s="3"/>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5"/>
    </row>
    <row r="291" spans="1:28" x14ac:dyDescent="0.35">
      <c r="A291" s="3"/>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5"/>
    </row>
    <row r="292" spans="1:28" x14ac:dyDescent="0.35">
      <c r="A292" s="3"/>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5"/>
    </row>
    <row r="293" spans="1:28" x14ac:dyDescent="0.35">
      <c r="A293" s="3"/>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5"/>
    </row>
    <row r="294" spans="1:28" x14ac:dyDescent="0.35">
      <c r="A294" s="3"/>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5"/>
    </row>
    <row r="295" spans="1:28" x14ac:dyDescent="0.35">
      <c r="A295" s="3"/>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5"/>
    </row>
    <row r="296" spans="1:28" x14ac:dyDescent="0.35">
      <c r="A296" s="3"/>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5"/>
    </row>
    <row r="297" spans="1:28" x14ac:dyDescent="0.35">
      <c r="A297" s="3"/>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5"/>
    </row>
    <row r="298" spans="1:28" x14ac:dyDescent="0.35">
      <c r="A298" s="3"/>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5"/>
    </row>
    <row r="299" spans="1:28" x14ac:dyDescent="0.35">
      <c r="A299" s="3"/>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5"/>
    </row>
    <row r="300" spans="1:28" x14ac:dyDescent="0.35">
      <c r="A300" s="3"/>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5"/>
    </row>
    <row r="301" spans="1:28" x14ac:dyDescent="0.35">
      <c r="A301" s="3"/>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5"/>
    </row>
    <row r="302" spans="1:28" x14ac:dyDescent="0.35">
      <c r="A302" s="3"/>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5"/>
    </row>
    <row r="303" spans="1:28" x14ac:dyDescent="0.35">
      <c r="A303" s="3"/>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5"/>
    </row>
    <row r="304" spans="1:28" x14ac:dyDescent="0.35">
      <c r="A304" s="3"/>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5"/>
    </row>
    <row r="305" spans="1:28" x14ac:dyDescent="0.35">
      <c r="A305" s="3"/>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5"/>
    </row>
    <row r="306" spans="1:28" x14ac:dyDescent="0.35">
      <c r="A306" s="3"/>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5"/>
    </row>
    <row r="307" spans="1:28" x14ac:dyDescent="0.35">
      <c r="A307" s="3"/>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5"/>
    </row>
    <row r="308" spans="1:28" x14ac:dyDescent="0.35">
      <c r="A308" s="3"/>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5"/>
    </row>
    <row r="309" spans="1:28" x14ac:dyDescent="0.35">
      <c r="A309" s="3"/>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5"/>
    </row>
    <row r="310" spans="1:28" x14ac:dyDescent="0.35">
      <c r="A310" s="3"/>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5"/>
    </row>
    <row r="311" spans="1:28" x14ac:dyDescent="0.35">
      <c r="A311" s="3"/>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5"/>
    </row>
    <row r="312" spans="1:28" x14ac:dyDescent="0.35">
      <c r="A312" s="3"/>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5"/>
    </row>
    <row r="313" spans="1:28" x14ac:dyDescent="0.35">
      <c r="A313" s="3"/>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5"/>
    </row>
    <row r="314" spans="1:28" x14ac:dyDescent="0.35">
      <c r="A314" s="3"/>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5"/>
    </row>
    <row r="315" spans="1:28" x14ac:dyDescent="0.35">
      <c r="A315" s="3"/>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5"/>
    </row>
    <row r="316" spans="1:28" x14ac:dyDescent="0.35">
      <c r="A316" s="3"/>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5"/>
    </row>
    <row r="317" spans="1:28" x14ac:dyDescent="0.35">
      <c r="A317" s="3"/>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5"/>
    </row>
    <row r="318" spans="1:28" x14ac:dyDescent="0.35">
      <c r="A318" s="3"/>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5"/>
    </row>
    <row r="319" spans="1:28" x14ac:dyDescent="0.35">
      <c r="A319" s="3"/>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5"/>
    </row>
    <row r="320" spans="1:28" x14ac:dyDescent="0.35">
      <c r="A320" s="3"/>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5"/>
    </row>
    <row r="321" spans="1:28" x14ac:dyDescent="0.35">
      <c r="A321" s="3"/>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5"/>
    </row>
    <row r="322" spans="1:28" x14ac:dyDescent="0.35">
      <c r="A322" s="3"/>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5"/>
    </row>
    <row r="323" spans="1:28" x14ac:dyDescent="0.35">
      <c r="A323" s="3"/>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5"/>
    </row>
    <row r="324" spans="1:28" x14ac:dyDescent="0.35">
      <c r="A324" s="3"/>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5"/>
    </row>
    <row r="325" spans="1:28" x14ac:dyDescent="0.35">
      <c r="A325" s="3"/>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5"/>
    </row>
    <row r="326" spans="1:28" x14ac:dyDescent="0.35">
      <c r="A326" s="3"/>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5"/>
    </row>
    <row r="327" spans="1:28" x14ac:dyDescent="0.35">
      <c r="A327" s="3"/>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5"/>
    </row>
    <row r="328" spans="1:28" x14ac:dyDescent="0.35">
      <c r="A328" s="3"/>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5"/>
    </row>
    <row r="329" spans="1:28" x14ac:dyDescent="0.35">
      <c r="A329" s="3"/>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5"/>
    </row>
    <row r="330" spans="1:28" x14ac:dyDescent="0.35">
      <c r="A330" s="3"/>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5"/>
    </row>
    <row r="331" spans="1:28" x14ac:dyDescent="0.35">
      <c r="A331" s="3"/>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5"/>
    </row>
    <row r="332" spans="1:28" x14ac:dyDescent="0.35">
      <c r="A332" s="3"/>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5"/>
    </row>
    <row r="333" spans="1:28" x14ac:dyDescent="0.35">
      <c r="A333" s="3"/>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5"/>
    </row>
    <row r="334" spans="1:28" x14ac:dyDescent="0.35">
      <c r="A334" s="3"/>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5"/>
    </row>
    <row r="335" spans="1:28" x14ac:dyDescent="0.35">
      <c r="A335" s="3"/>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5"/>
    </row>
    <row r="336" spans="1:28" x14ac:dyDescent="0.35">
      <c r="A336" s="3"/>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5"/>
    </row>
    <row r="337" spans="1:28" x14ac:dyDescent="0.35">
      <c r="A337" s="3"/>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5"/>
    </row>
    <row r="338" spans="1:28" x14ac:dyDescent="0.35">
      <c r="A338" s="3"/>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5"/>
    </row>
    <row r="339" spans="1:28" x14ac:dyDescent="0.35">
      <c r="A339" s="3"/>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5"/>
    </row>
    <row r="340" spans="1:28" x14ac:dyDescent="0.35">
      <c r="A340" s="3"/>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5"/>
    </row>
    <row r="341" spans="1:28" x14ac:dyDescent="0.35">
      <c r="A341" s="3"/>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5"/>
    </row>
    <row r="342" spans="1:28" x14ac:dyDescent="0.35">
      <c r="A342" s="3"/>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5"/>
    </row>
    <row r="343" spans="1:28" x14ac:dyDescent="0.35">
      <c r="A343" s="3"/>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5"/>
    </row>
    <row r="344" spans="1:28" x14ac:dyDescent="0.35">
      <c r="A344" s="3"/>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5"/>
    </row>
    <row r="345" spans="1:28" x14ac:dyDescent="0.35">
      <c r="A345" s="3"/>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5"/>
    </row>
    <row r="346" spans="1:28" x14ac:dyDescent="0.35">
      <c r="A346" s="3"/>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5"/>
    </row>
    <row r="347" spans="1:28" x14ac:dyDescent="0.35">
      <c r="A347" s="3"/>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5"/>
    </row>
    <row r="348" spans="1:28" x14ac:dyDescent="0.35">
      <c r="A348" s="3"/>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5"/>
    </row>
    <row r="349" spans="1:28" x14ac:dyDescent="0.35">
      <c r="A349" s="3"/>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5"/>
    </row>
    <row r="350" spans="1:28" x14ac:dyDescent="0.35">
      <c r="A350" s="3"/>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5"/>
    </row>
    <row r="351" spans="1:28" x14ac:dyDescent="0.35">
      <c r="A351" s="3"/>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5"/>
    </row>
    <row r="352" spans="1:28" x14ac:dyDescent="0.35">
      <c r="A352" s="3"/>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5"/>
    </row>
    <row r="353" spans="1:28" x14ac:dyDescent="0.35">
      <c r="A353" s="3"/>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5"/>
    </row>
    <row r="354" spans="1:28" x14ac:dyDescent="0.35">
      <c r="A354" s="3"/>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5"/>
    </row>
    <row r="355" spans="1:28" x14ac:dyDescent="0.35">
      <c r="A355" s="3"/>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5"/>
    </row>
    <row r="356" spans="1:28" x14ac:dyDescent="0.35">
      <c r="A356" s="3"/>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5"/>
    </row>
    <row r="357" spans="1:28" x14ac:dyDescent="0.35">
      <c r="A357" s="3"/>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5"/>
    </row>
    <row r="358" spans="1:28" x14ac:dyDescent="0.35">
      <c r="A358" s="3"/>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5"/>
    </row>
    <row r="359" spans="1:28" x14ac:dyDescent="0.35">
      <c r="A359" s="3"/>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5"/>
    </row>
    <row r="360" spans="1:28" x14ac:dyDescent="0.35">
      <c r="A360" s="3"/>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5"/>
    </row>
    <row r="361" spans="1:28" x14ac:dyDescent="0.35">
      <c r="A361" s="3"/>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5"/>
    </row>
    <row r="362" spans="1:28" x14ac:dyDescent="0.35">
      <c r="A362" s="3"/>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5"/>
    </row>
    <row r="363" spans="1:28" x14ac:dyDescent="0.35">
      <c r="A363" s="3"/>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5"/>
    </row>
    <row r="364" spans="1:28" x14ac:dyDescent="0.35">
      <c r="A364" s="3"/>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5"/>
    </row>
    <row r="365" spans="1:28" x14ac:dyDescent="0.35">
      <c r="A365" s="3"/>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5"/>
    </row>
    <row r="366" spans="1:28" x14ac:dyDescent="0.35">
      <c r="A366" s="3"/>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5"/>
    </row>
    <row r="367" spans="1:28" x14ac:dyDescent="0.35">
      <c r="A367" s="3"/>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5"/>
    </row>
    <row r="368" spans="1:28" x14ac:dyDescent="0.35">
      <c r="A368" s="3"/>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5"/>
    </row>
    <row r="369" spans="1:28" x14ac:dyDescent="0.35">
      <c r="A369" s="3"/>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5"/>
    </row>
    <row r="370" spans="1:28" x14ac:dyDescent="0.35">
      <c r="A370" s="3"/>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5"/>
    </row>
    <row r="371" spans="1:28" x14ac:dyDescent="0.35">
      <c r="A371" s="3"/>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5"/>
    </row>
    <row r="372" spans="1:28" x14ac:dyDescent="0.35">
      <c r="A372" s="3"/>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5"/>
    </row>
    <row r="373" spans="1:28" x14ac:dyDescent="0.35">
      <c r="A373" s="3"/>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5"/>
    </row>
    <row r="374" spans="1:28" x14ac:dyDescent="0.35">
      <c r="A374" s="3"/>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5"/>
    </row>
    <row r="375" spans="1:28" x14ac:dyDescent="0.35">
      <c r="A375" s="3"/>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5"/>
    </row>
    <row r="376" spans="1:28" x14ac:dyDescent="0.35">
      <c r="A376" s="3"/>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5"/>
    </row>
    <row r="377" spans="1:28" x14ac:dyDescent="0.35">
      <c r="A377" s="3"/>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5"/>
    </row>
    <row r="378" spans="1:28" x14ac:dyDescent="0.35">
      <c r="A378" s="3"/>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5"/>
    </row>
    <row r="379" spans="1:28" x14ac:dyDescent="0.35">
      <c r="A379" s="3"/>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5"/>
    </row>
    <row r="380" spans="1:28" x14ac:dyDescent="0.35">
      <c r="A380" s="3"/>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5"/>
    </row>
    <row r="381" spans="1:28" x14ac:dyDescent="0.35">
      <c r="A381" s="3"/>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5"/>
    </row>
    <row r="382" spans="1:28" x14ac:dyDescent="0.35">
      <c r="A382" s="3"/>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5"/>
    </row>
    <row r="383" spans="1:28" x14ac:dyDescent="0.35">
      <c r="A383" s="3"/>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5"/>
    </row>
    <row r="384" spans="1:28" x14ac:dyDescent="0.35">
      <c r="A384" s="3"/>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5"/>
    </row>
    <row r="385" spans="1:28" x14ac:dyDescent="0.35">
      <c r="A385" s="3"/>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5"/>
    </row>
    <row r="386" spans="1:28" x14ac:dyDescent="0.35">
      <c r="A386" s="3"/>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5"/>
    </row>
    <row r="387" spans="1:28" x14ac:dyDescent="0.35">
      <c r="A387" s="3"/>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5"/>
    </row>
    <row r="388" spans="1:28" x14ac:dyDescent="0.35">
      <c r="A388" s="3"/>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5"/>
    </row>
    <row r="389" spans="1:28" x14ac:dyDescent="0.35">
      <c r="A389" s="3"/>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5"/>
    </row>
    <row r="390" spans="1:28" x14ac:dyDescent="0.35">
      <c r="A390" s="3"/>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5"/>
    </row>
    <row r="391" spans="1:28" x14ac:dyDescent="0.35">
      <c r="A391" s="3"/>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5"/>
    </row>
    <row r="392" spans="1:28" x14ac:dyDescent="0.35">
      <c r="A392" s="3"/>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5"/>
    </row>
    <row r="393" spans="1:28" x14ac:dyDescent="0.35">
      <c r="A393" s="3"/>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5"/>
    </row>
    <row r="394" spans="1:28" x14ac:dyDescent="0.35">
      <c r="A394" s="3"/>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5"/>
    </row>
    <row r="395" spans="1:28" x14ac:dyDescent="0.35">
      <c r="A395" s="3"/>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5"/>
    </row>
    <row r="396" spans="1:28" x14ac:dyDescent="0.35">
      <c r="A396" s="3"/>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5"/>
    </row>
    <row r="397" spans="1:28" x14ac:dyDescent="0.35">
      <c r="A397" s="3"/>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5"/>
    </row>
    <row r="398" spans="1:28" x14ac:dyDescent="0.35">
      <c r="A398" s="3"/>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5"/>
    </row>
    <row r="399" spans="1:28" x14ac:dyDescent="0.35">
      <c r="A399" s="3"/>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5"/>
    </row>
    <row r="400" spans="1:28" x14ac:dyDescent="0.35">
      <c r="A400" s="3"/>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5"/>
    </row>
    <row r="401" spans="1:28" x14ac:dyDescent="0.35">
      <c r="A401" s="3"/>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5"/>
    </row>
    <row r="402" spans="1:28" x14ac:dyDescent="0.35">
      <c r="A402" s="3"/>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5"/>
    </row>
    <row r="403" spans="1:28" x14ac:dyDescent="0.35">
      <c r="A403" s="3"/>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5"/>
    </row>
    <row r="404" spans="1:28" x14ac:dyDescent="0.35">
      <c r="A404" s="3"/>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5"/>
    </row>
    <row r="405" spans="1:28" x14ac:dyDescent="0.35">
      <c r="A405" s="3"/>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5"/>
    </row>
    <row r="406" spans="1:28" x14ac:dyDescent="0.35">
      <c r="A406" s="3"/>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5"/>
    </row>
    <row r="407" spans="1:28" x14ac:dyDescent="0.35">
      <c r="A407" s="3"/>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5"/>
    </row>
    <row r="408" spans="1:28" x14ac:dyDescent="0.35">
      <c r="A408" s="3"/>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5"/>
    </row>
    <row r="409" spans="1:28" x14ac:dyDescent="0.35">
      <c r="A409" s="3"/>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5"/>
    </row>
    <row r="410" spans="1:28" x14ac:dyDescent="0.35">
      <c r="A410" s="3"/>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5"/>
    </row>
    <row r="411" spans="1:28" x14ac:dyDescent="0.35">
      <c r="A411" s="3"/>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5"/>
    </row>
    <row r="412" spans="1:28" x14ac:dyDescent="0.35">
      <c r="A412" s="3"/>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5"/>
    </row>
    <row r="413" spans="1:28" x14ac:dyDescent="0.35">
      <c r="A413" s="3"/>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5"/>
    </row>
    <row r="414" spans="1:28" x14ac:dyDescent="0.35">
      <c r="A414" s="3"/>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5"/>
    </row>
    <row r="415" spans="1:28" x14ac:dyDescent="0.35">
      <c r="A415" s="3"/>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5"/>
    </row>
    <row r="416" spans="1:28" x14ac:dyDescent="0.35">
      <c r="A416" s="3"/>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5"/>
    </row>
    <row r="417" spans="1:28" x14ac:dyDescent="0.35">
      <c r="A417" s="3"/>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5"/>
    </row>
    <row r="418" spans="1:28" x14ac:dyDescent="0.35">
      <c r="A418" s="3"/>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5"/>
    </row>
    <row r="419" spans="1:28" x14ac:dyDescent="0.35">
      <c r="A419" s="3"/>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5"/>
    </row>
    <row r="420" spans="1:28" x14ac:dyDescent="0.35">
      <c r="A420" s="3"/>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5"/>
    </row>
    <row r="421" spans="1:28" x14ac:dyDescent="0.35">
      <c r="A421" s="3"/>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5"/>
    </row>
    <row r="422" spans="1:28" x14ac:dyDescent="0.35">
      <c r="A422" s="3"/>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5"/>
    </row>
    <row r="423" spans="1:28" x14ac:dyDescent="0.35">
      <c r="A423" s="3"/>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5"/>
    </row>
    <row r="424" spans="1:28" x14ac:dyDescent="0.35">
      <c r="A424" s="3"/>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5"/>
    </row>
    <row r="425" spans="1:28" x14ac:dyDescent="0.35">
      <c r="A425" s="3"/>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5"/>
    </row>
    <row r="426" spans="1:28" x14ac:dyDescent="0.35">
      <c r="A426" s="3"/>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5"/>
    </row>
    <row r="427" spans="1:28" x14ac:dyDescent="0.35">
      <c r="A427" s="3"/>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5"/>
    </row>
    <row r="428" spans="1:28" x14ac:dyDescent="0.35">
      <c r="A428" s="3"/>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5"/>
    </row>
    <row r="429" spans="1:28" x14ac:dyDescent="0.35">
      <c r="A429" s="3"/>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5"/>
    </row>
    <row r="430" spans="1:28" x14ac:dyDescent="0.35">
      <c r="A430" s="3"/>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5"/>
    </row>
    <row r="431" spans="1:28" x14ac:dyDescent="0.35">
      <c r="A431" s="3"/>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5"/>
    </row>
    <row r="432" spans="1:28" x14ac:dyDescent="0.35">
      <c r="A432" s="3"/>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5"/>
    </row>
    <row r="433" spans="1:28" x14ac:dyDescent="0.35">
      <c r="A433" s="3"/>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5"/>
    </row>
    <row r="434" spans="1:28" x14ac:dyDescent="0.35">
      <c r="A434" s="3"/>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5"/>
    </row>
    <row r="435" spans="1:28" x14ac:dyDescent="0.35">
      <c r="A435" s="3"/>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5"/>
    </row>
    <row r="436" spans="1:28" x14ac:dyDescent="0.35">
      <c r="A436" s="3"/>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5"/>
    </row>
    <row r="437" spans="1:28" x14ac:dyDescent="0.35">
      <c r="A437" s="3"/>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5"/>
    </row>
    <row r="438" spans="1:28" x14ac:dyDescent="0.35">
      <c r="A438" s="3"/>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5"/>
    </row>
    <row r="439" spans="1:28" x14ac:dyDescent="0.35">
      <c r="A439" s="3"/>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5"/>
    </row>
    <row r="440" spans="1:28" x14ac:dyDescent="0.35">
      <c r="A440" s="3"/>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5"/>
    </row>
    <row r="441" spans="1:28" x14ac:dyDescent="0.35">
      <c r="A441" s="3"/>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5"/>
    </row>
    <row r="442" spans="1:28" x14ac:dyDescent="0.35">
      <c r="A442" s="3"/>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5"/>
    </row>
    <row r="443" spans="1:28" x14ac:dyDescent="0.35">
      <c r="A443" s="3"/>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5"/>
    </row>
    <row r="444" spans="1:28" x14ac:dyDescent="0.35">
      <c r="A444" s="3"/>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5"/>
    </row>
    <row r="445" spans="1:28" x14ac:dyDescent="0.35">
      <c r="A445" s="3"/>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5"/>
    </row>
    <row r="446" spans="1:28" x14ac:dyDescent="0.35">
      <c r="A446" s="3"/>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5"/>
    </row>
    <row r="447" spans="1:28" x14ac:dyDescent="0.35">
      <c r="A447" s="3"/>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5"/>
    </row>
    <row r="448" spans="1:28" x14ac:dyDescent="0.35">
      <c r="A448" s="3"/>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5"/>
    </row>
    <row r="449" spans="1:28" x14ac:dyDescent="0.35">
      <c r="A449" s="3"/>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5"/>
    </row>
    <row r="450" spans="1:28" x14ac:dyDescent="0.35">
      <c r="A450" s="3"/>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5"/>
    </row>
    <row r="451" spans="1:28" x14ac:dyDescent="0.35">
      <c r="A451" s="3"/>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5"/>
    </row>
    <row r="452" spans="1:28" x14ac:dyDescent="0.35">
      <c r="A452" s="3"/>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5"/>
    </row>
    <row r="453" spans="1:28" x14ac:dyDescent="0.35">
      <c r="A453" s="3"/>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5"/>
    </row>
    <row r="454" spans="1:28" x14ac:dyDescent="0.35">
      <c r="A454" s="3"/>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5"/>
    </row>
    <row r="455" spans="1:28" x14ac:dyDescent="0.35">
      <c r="A455" s="3"/>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5"/>
    </row>
    <row r="456" spans="1:28" x14ac:dyDescent="0.35">
      <c r="A456" s="3"/>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5"/>
    </row>
    <row r="457" spans="1:28" x14ac:dyDescent="0.35">
      <c r="A457" s="3"/>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5"/>
    </row>
    <row r="458" spans="1:28" x14ac:dyDescent="0.35">
      <c r="A458" s="3"/>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5"/>
    </row>
    <row r="459" spans="1:28" x14ac:dyDescent="0.35">
      <c r="A459" s="3"/>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5"/>
    </row>
    <row r="460" spans="1:28" x14ac:dyDescent="0.35">
      <c r="A460" s="3"/>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5"/>
    </row>
    <row r="461" spans="1:28" x14ac:dyDescent="0.35">
      <c r="A461" s="3"/>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5"/>
    </row>
    <row r="462" spans="1:28" x14ac:dyDescent="0.35">
      <c r="A462" s="3"/>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5"/>
    </row>
    <row r="463" spans="1:28" x14ac:dyDescent="0.35">
      <c r="A463" s="3"/>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5"/>
    </row>
    <row r="464" spans="1:28" x14ac:dyDescent="0.35">
      <c r="A464" s="3"/>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5"/>
    </row>
    <row r="465" spans="1:28" x14ac:dyDescent="0.35">
      <c r="A465" s="3"/>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5"/>
    </row>
    <row r="466" spans="1:28" x14ac:dyDescent="0.35">
      <c r="A466" s="3"/>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5"/>
    </row>
    <row r="467" spans="1:28" x14ac:dyDescent="0.35">
      <c r="A467" s="3"/>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5"/>
    </row>
    <row r="468" spans="1:28" x14ac:dyDescent="0.35">
      <c r="A468" s="3"/>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5"/>
    </row>
    <row r="469" spans="1:28" x14ac:dyDescent="0.35">
      <c r="A469" s="3"/>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5"/>
    </row>
    <row r="470" spans="1:28" x14ac:dyDescent="0.35">
      <c r="A470" s="3"/>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5"/>
    </row>
    <row r="471" spans="1:28" x14ac:dyDescent="0.35">
      <c r="A471" s="3"/>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5"/>
    </row>
    <row r="472" spans="1:28" x14ac:dyDescent="0.35">
      <c r="A472" s="3"/>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5"/>
    </row>
    <row r="473" spans="1:28" x14ac:dyDescent="0.35">
      <c r="A473" s="3"/>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5"/>
    </row>
    <row r="474" spans="1:28" x14ac:dyDescent="0.35">
      <c r="A474" s="3"/>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5"/>
    </row>
    <row r="475" spans="1:28" x14ac:dyDescent="0.35">
      <c r="A475" s="3"/>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5"/>
    </row>
    <row r="476" spans="1:28" x14ac:dyDescent="0.35">
      <c r="A476" s="3"/>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5"/>
    </row>
    <row r="477" spans="1:28" x14ac:dyDescent="0.35">
      <c r="A477" s="3"/>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5"/>
    </row>
    <row r="478" spans="1:28" x14ac:dyDescent="0.35">
      <c r="A478" s="3"/>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5"/>
    </row>
    <row r="479" spans="1:28" x14ac:dyDescent="0.35">
      <c r="A479" s="3"/>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5"/>
    </row>
    <row r="480" spans="1:28" x14ac:dyDescent="0.35">
      <c r="A480" s="3"/>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5"/>
    </row>
    <row r="481" spans="1:28" x14ac:dyDescent="0.35">
      <c r="A481" s="3"/>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5"/>
    </row>
    <row r="482" spans="1:28" x14ac:dyDescent="0.35">
      <c r="A482" s="3"/>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5"/>
    </row>
    <row r="483" spans="1:28" x14ac:dyDescent="0.35">
      <c r="A483" s="3"/>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5"/>
    </row>
    <row r="484" spans="1:28" x14ac:dyDescent="0.35">
      <c r="A484" s="3"/>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5"/>
    </row>
    <row r="485" spans="1:28" x14ac:dyDescent="0.35">
      <c r="A485" s="3"/>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5"/>
    </row>
    <row r="486" spans="1:28" x14ac:dyDescent="0.35">
      <c r="A486" s="3"/>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5"/>
    </row>
    <row r="487" spans="1:28" x14ac:dyDescent="0.35">
      <c r="A487" s="3"/>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5"/>
    </row>
    <row r="488" spans="1:28" x14ac:dyDescent="0.35">
      <c r="A488" s="3"/>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5"/>
    </row>
    <row r="489" spans="1:28" x14ac:dyDescent="0.35">
      <c r="A489" s="3"/>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5"/>
    </row>
    <row r="490" spans="1:28" x14ac:dyDescent="0.35">
      <c r="A490" s="3"/>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5"/>
    </row>
    <row r="491" spans="1:28" x14ac:dyDescent="0.35">
      <c r="A491" s="3"/>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5"/>
    </row>
    <row r="492" spans="1:28" x14ac:dyDescent="0.35">
      <c r="A492" s="3"/>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5"/>
    </row>
    <row r="493" spans="1:28" x14ac:dyDescent="0.35">
      <c r="A493" s="3"/>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5"/>
    </row>
    <row r="494" spans="1:28" x14ac:dyDescent="0.35">
      <c r="A494" s="3"/>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5"/>
    </row>
    <row r="495" spans="1:28" x14ac:dyDescent="0.35">
      <c r="A495" s="3"/>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5"/>
    </row>
    <row r="496" spans="1:28" x14ac:dyDescent="0.35">
      <c r="A496" s="3"/>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5"/>
    </row>
    <row r="497" spans="1:28" x14ac:dyDescent="0.35">
      <c r="A497" s="3"/>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5"/>
    </row>
    <row r="498" spans="1:28" x14ac:dyDescent="0.35">
      <c r="A498" s="3"/>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5"/>
    </row>
    <row r="499" spans="1:28" x14ac:dyDescent="0.35">
      <c r="A499" s="3"/>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5"/>
    </row>
    <row r="500" spans="1:28" x14ac:dyDescent="0.35">
      <c r="A500" s="3"/>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5"/>
    </row>
    <row r="501" spans="1:28" x14ac:dyDescent="0.35">
      <c r="A501" s="3"/>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5"/>
    </row>
    <row r="502" spans="1:28" x14ac:dyDescent="0.35">
      <c r="A502" s="3"/>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5"/>
    </row>
    <row r="503" spans="1:28" x14ac:dyDescent="0.35">
      <c r="A503" s="3"/>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5"/>
    </row>
    <row r="504" spans="1:28" x14ac:dyDescent="0.35">
      <c r="A504" s="3"/>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5"/>
    </row>
    <row r="505" spans="1:28" x14ac:dyDescent="0.35">
      <c r="A505" s="3"/>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5"/>
    </row>
    <row r="506" spans="1:28" x14ac:dyDescent="0.35">
      <c r="A506" s="3"/>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5"/>
    </row>
    <row r="507" spans="1:28" x14ac:dyDescent="0.35">
      <c r="A507" s="3"/>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5"/>
    </row>
    <row r="508" spans="1:28" x14ac:dyDescent="0.35">
      <c r="A508" s="3"/>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5"/>
    </row>
    <row r="509" spans="1:28" x14ac:dyDescent="0.35">
      <c r="A509" s="3"/>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5"/>
    </row>
    <row r="510" spans="1:28" x14ac:dyDescent="0.35">
      <c r="A510" s="3"/>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5"/>
    </row>
    <row r="511" spans="1:28" x14ac:dyDescent="0.35">
      <c r="A511" s="3"/>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5"/>
    </row>
    <row r="512" spans="1:28" x14ac:dyDescent="0.35">
      <c r="A512" s="3"/>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5"/>
    </row>
    <row r="513" spans="1:28" x14ac:dyDescent="0.35">
      <c r="A513" s="3"/>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5"/>
    </row>
    <row r="514" spans="1:28" x14ac:dyDescent="0.35">
      <c r="A514" s="3"/>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5"/>
    </row>
    <row r="515" spans="1:28" x14ac:dyDescent="0.35">
      <c r="A515" s="3"/>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5"/>
    </row>
    <row r="516" spans="1:28" x14ac:dyDescent="0.35">
      <c r="A516" s="3"/>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5"/>
    </row>
    <row r="517" spans="1:28" x14ac:dyDescent="0.35">
      <c r="A517" s="3"/>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5"/>
    </row>
    <row r="518" spans="1:28" x14ac:dyDescent="0.35">
      <c r="A518" s="3"/>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5"/>
    </row>
    <row r="519" spans="1:28" x14ac:dyDescent="0.35">
      <c r="A519" s="3"/>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5"/>
    </row>
    <row r="520" spans="1:28" x14ac:dyDescent="0.35">
      <c r="A520" s="3"/>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5"/>
    </row>
    <row r="521" spans="1:28" x14ac:dyDescent="0.35">
      <c r="A521" s="3"/>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5"/>
    </row>
    <row r="522" spans="1:28" x14ac:dyDescent="0.35">
      <c r="A522" s="3"/>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5"/>
    </row>
    <row r="523" spans="1:28" x14ac:dyDescent="0.35">
      <c r="A523" s="3"/>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5"/>
    </row>
    <row r="524" spans="1:28" x14ac:dyDescent="0.35">
      <c r="A524" s="3"/>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5"/>
    </row>
    <row r="525" spans="1:28" x14ac:dyDescent="0.35">
      <c r="A525" s="3"/>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5"/>
    </row>
    <row r="526" spans="1:28" x14ac:dyDescent="0.35">
      <c r="A526" s="3"/>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5"/>
    </row>
    <row r="527" spans="1:28" x14ac:dyDescent="0.35">
      <c r="A527" s="3"/>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5"/>
    </row>
    <row r="528" spans="1:28" x14ac:dyDescent="0.35">
      <c r="A528" s="3"/>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5"/>
    </row>
    <row r="529" spans="1:28" x14ac:dyDescent="0.35">
      <c r="A529" s="3"/>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5"/>
    </row>
    <row r="530" spans="1:28" x14ac:dyDescent="0.35">
      <c r="A530" s="3"/>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5"/>
    </row>
    <row r="531" spans="1:28" x14ac:dyDescent="0.35">
      <c r="A531" s="3"/>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5"/>
    </row>
    <row r="532" spans="1:28" x14ac:dyDescent="0.35">
      <c r="A532" s="3"/>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5"/>
    </row>
    <row r="533" spans="1:28" x14ac:dyDescent="0.35">
      <c r="A533" s="3"/>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5"/>
    </row>
    <row r="534" spans="1:28" x14ac:dyDescent="0.35">
      <c r="A534" s="3"/>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5"/>
    </row>
    <row r="535" spans="1:28" x14ac:dyDescent="0.35">
      <c r="A535" s="3"/>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5"/>
    </row>
    <row r="536" spans="1:28" x14ac:dyDescent="0.35">
      <c r="A536" s="3"/>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5"/>
    </row>
    <row r="537" spans="1:28" x14ac:dyDescent="0.35">
      <c r="A537" s="3"/>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5"/>
    </row>
    <row r="538" spans="1:28" x14ac:dyDescent="0.35">
      <c r="A538" s="3"/>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5"/>
    </row>
    <row r="539" spans="1:28" x14ac:dyDescent="0.35">
      <c r="A539" s="3"/>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5"/>
    </row>
    <row r="540" spans="1:28" x14ac:dyDescent="0.35">
      <c r="A540" s="3"/>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5"/>
    </row>
    <row r="541" spans="1:28" x14ac:dyDescent="0.35">
      <c r="A541" s="3"/>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5"/>
    </row>
    <row r="542" spans="1:28" x14ac:dyDescent="0.35">
      <c r="A542" s="3"/>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5"/>
    </row>
    <row r="543" spans="1:28" x14ac:dyDescent="0.35">
      <c r="A543" s="3"/>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5"/>
    </row>
    <row r="544" spans="1:28" x14ac:dyDescent="0.35">
      <c r="A544" s="3"/>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5"/>
    </row>
    <row r="545" spans="1:28" x14ac:dyDescent="0.35">
      <c r="A545" s="3"/>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5"/>
    </row>
    <row r="546" spans="1:28" x14ac:dyDescent="0.35">
      <c r="A546" s="3"/>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5"/>
    </row>
    <row r="547" spans="1:28" x14ac:dyDescent="0.35">
      <c r="A547" s="3"/>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5"/>
    </row>
    <row r="548" spans="1:28" x14ac:dyDescent="0.35">
      <c r="A548" s="3"/>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5"/>
    </row>
    <row r="549" spans="1:28" x14ac:dyDescent="0.35">
      <c r="A549" s="3"/>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5"/>
    </row>
    <row r="550" spans="1:28" x14ac:dyDescent="0.35">
      <c r="A550" s="3"/>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5"/>
    </row>
    <row r="551" spans="1:28" x14ac:dyDescent="0.35">
      <c r="A551" s="3"/>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5"/>
    </row>
    <row r="552" spans="1:28" x14ac:dyDescent="0.35">
      <c r="A552" s="3"/>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5"/>
    </row>
    <row r="553" spans="1:28" x14ac:dyDescent="0.35">
      <c r="A553" s="3"/>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5"/>
    </row>
    <row r="554" spans="1:28" x14ac:dyDescent="0.35">
      <c r="A554" s="3"/>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5"/>
    </row>
    <row r="555" spans="1:28" x14ac:dyDescent="0.35">
      <c r="A555" s="3"/>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5"/>
    </row>
    <row r="556" spans="1:28" x14ac:dyDescent="0.35">
      <c r="A556" s="3"/>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5"/>
    </row>
    <row r="557" spans="1:28" x14ac:dyDescent="0.35">
      <c r="A557" s="3"/>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5"/>
    </row>
    <row r="558" spans="1:28" x14ac:dyDescent="0.35">
      <c r="A558" s="3"/>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5"/>
    </row>
    <row r="559" spans="1:28" x14ac:dyDescent="0.35">
      <c r="A559" s="3"/>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5"/>
    </row>
    <row r="560" spans="1:28" x14ac:dyDescent="0.35">
      <c r="A560" s="3"/>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5"/>
    </row>
    <row r="561" spans="1:28" x14ac:dyDescent="0.35">
      <c r="A561" s="3"/>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5"/>
    </row>
    <row r="562" spans="1:28" x14ac:dyDescent="0.35">
      <c r="A562" s="3"/>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5"/>
    </row>
    <row r="563" spans="1:28" x14ac:dyDescent="0.35">
      <c r="A563" s="3"/>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5"/>
    </row>
    <row r="564" spans="1:28" x14ac:dyDescent="0.35">
      <c r="A564" s="3"/>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5"/>
    </row>
    <row r="565" spans="1:28" x14ac:dyDescent="0.35">
      <c r="A565" s="3"/>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5"/>
    </row>
    <row r="566" spans="1:28" x14ac:dyDescent="0.35">
      <c r="A566" s="3"/>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5"/>
    </row>
    <row r="567" spans="1:28" x14ac:dyDescent="0.35">
      <c r="A567" s="3"/>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5"/>
    </row>
    <row r="568" spans="1:28" x14ac:dyDescent="0.35">
      <c r="A568" s="3"/>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5"/>
    </row>
    <row r="569" spans="1:28" x14ac:dyDescent="0.35">
      <c r="A569" s="3"/>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5"/>
    </row>
    <row r="570" spans="1:28" x14ac:dyDescent="0.35">
      <c r="A570" s="3"/>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5"/>
    </row>
    <row r="571" spans="1:28" x14ac:dyDescent="0.35">
      <c r="A571" s="3"/>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5"/>
    </row>
    <row r="572" spans="1:28" x14ac:dyDescent="0.35">
      <c r="A572" s="3"/>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5"/>
    </row>
    <row r="573" spans="1:28" x14ac:dyDescent="0.35">
      <c r="A573" s="3"/>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5"/>
    </row>
    <row r="574" spans="1:28" x14ac:dyDescent="0.35">
      <c r="A574" s="3"/>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5"/>
    </row>
    <row r="575" spans="1:28" x14ac:dyDescent="0.35">
      <c r="A575" s="3"/>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5"/>
    </row>
    <row r="576" spans="1:28" x14ac:dyDescent="0.35">
      <c r="A576" s="3"/>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5"/>
    </row>
    <row r="577" spans="1:28" x14ac:dyDescent="0.35">
      <c r="A577" s="3"/>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5"/>
    </row>
    <row r="578" spans="1:28" x14ac:dyDescent="0.35">
      <c r="A578" s="3"/>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5"/>
    </row>
    <row r="579" spans="1:28" x14ac:dyDescent="0.35">
      <c r="A579" s="3"/>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5"/>
    </row>
    <row r="580" spans="1:28" x14ac:dyDescent="0.35">
      <c r="A580" s="3"/>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5"/>
    </row>
    <row r="581" spans="1:28" x14ac:dyDescent="0.35">
      <c r="A581" s="3"/>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5"/>
    </row>
    <row r="582" spans="1:28" x14ac:dyDescent="0.35">
      <c r="A582" s="3"/>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5"/>
    </row>
    <row r="583" spans="1:28" x14ac:dyDescent="0.35">
      <c r="A583" s="3"/>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5"/>
    </row>
    <row r="584" spans="1:28" x14ac:dyDescent="0.35">
      <c r="A584" s="3"/>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5"/>
    </row>
    <row r="585" spans="1:28" x14ac:dyDescent="0.35">
      <c r="A585" s="3"/>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5"/>
    </row>
    <row r="586" spans="1:28" x14ac:dyDescent="0.35">
      <c r="A586" s="3"/>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5"/>
    </row>
    <row r="587" spans="1:28" x14ac:dyDescent="0.35">
      <c r="A587" s="3"/>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5"/>
    </row>
    <row r="588" spans="1:28" x14ac:dyDescent="0.35">
      <c r="A588" s="3"/>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5"/>
    </row>
    <row r="589" spans="1:28" x14ac:dyDescent="0.35">
      <c r="A589" s="3"/>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5"/>
    </row>
    <row r="590" spans="1:28" x14ac:dyDescent="0.35">
      <c r="A590" s="3"/>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5"/>
    </row>
    <row r="591" spans="1:28" x14ac:dyDescent="0.35">
      <c r="A591" s="3"/>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5"/>
    </row>
    <row r="592" spans="1:28" x14ac:dyDescent="0.35">
      <c r="A592" s="3"/>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5"/>
    </row>
    <row r="593" spans="1:28" x14ac:dyDescent="0.35">
      <c r="A593" s="3"/>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5"/>
    </row>
    <row r="594" spans="1:28" x14ac:dyDescent="0.35">
      <c r="A594" s="3"/>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5"/>
    </row>
    <row r="595" spans="1:28" x14ac:dyDescent="0.35">
      <c r="A595" s="3"/>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5"/>
    </row>
    <row r="596" spans="1:28" x14ac:dyDescent="0.35">
      <c r="A596" s="3"/>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5"/>
    </row>
    <row r="597" spans="1:28" x14ac:dyDescent="0.35">
      <c r="A597" s="3"/>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5"/>
    </row>
    <row r="598" spans="1:28" x14ac:dyDescent="0.35">
      <c r="A598" s="3"/>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5"/>
    </row>
    <row r="599" spans="1:28" x14ac:dyDescent="0.35">
      <c r="A599" s="3"/>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5"/>
    </row>
    <row r="600" spans="1:28" x14ac:dyDescent="0.35">
      <c r="A600" s="3"/>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5"/>
    </row>
    <row r="601" spans="1:28" x14ac:dyDescent="0.35">
      <c r="A601" s="3"/>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5"/>
    </row>
    <row r="602" spans="1:28" x14ac:dyDescent="0.35">
      <c r="A602" s="3"/>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5"/>
    </row>
    <row r="603" spans="1:28" x14ac:dyDescent="0.35">
      <c r="A603" s="3"/>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5"/>
    </row>
    <row r="604" spans="1:28" x14ac:dyDescent="0.35">
      <c r="A604" s="3"/>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5"/>
    </row>
    <row r="605" spans="1:28" x14ac:dyDescent="0.35">
      <c r="A605" s="3"/>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5"/>
    </row>
    <row r="606" spans="1:28" x14ac:dyDescent="0.35">
      <c r="A606" s="3"/>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5"/>
    </row>
    <row r="607" spans="1:28" x14ac:dyDescent="0.35">
      <c r="A607" s="3"/>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5"/>
    </row>
    <row r="608" spans="1:28" x14ac:dyDescent="0.35">
      <c r="A608" s="3"/>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5"/>
    </row>
    <row r="609" spans="1:28" x14ac:dyDescent="0.35">
      <c r="A609" s="3"/>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5"/>
    </row>
    <row r="610" spans="1:28" x14ac:dyDescent="0.35">
      <c r="A610" s="3"/>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5"/>
    </row>
    <row r="611" spans="1:28" x14ac:dyDescent="0.35">
      <c r="A611" s="3"/>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5"/>
    </row>
    <row r="612" spans="1:28" x14ac:dyDescent="0.35">
      <c r="A612" s="3"/>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5"/>
    </row>
    <row r="613" spans="1:28" x14ac:dyDescent="0.35">
      <c r="A613" s="3"/>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5"/>
    </row>
    <row r="614" spans="1:28" x14ac:dyDescent="0.35">
      <c r="A614" s="3"/>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5"/>
    </row>
    <row r="615" spans="1:28" x14ac:dyDescent="0.35">
      <c r="A615" s="3"/>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5"/>
    </row>
    <row r="616" spans="1:28" x14ac:dyDescent="0.35">
      <c r="A616" s="3"/>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5"/>
    </row>
    <row r="617" spans="1:28" x14ac:dyDescent="0.35">
      <c r="A617" s="3"/>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5"/>
    </row>
    <row r="618" spans="1:28" x14ac:dyDescent="0.35">
      <c r="A618" s="3"/>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5"/>
    </row>
    <row r="619" spans="1:28" x14ac:dyDescent="0.35">
      <c r="A619" s="3"/>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5"/>
    </row>
    <row r="620" spans="1:28" x14ac:dyDescent="0.35">
      <c r="A620" s="3"/>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5"/>
    </row>
    <row r="621" spans="1:28" x14ac:dyDescent="0.35">
      <c r="A621" s="3"/>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5"/>
    </row>
    <row r="622" spans="1:28" x14ac:dyDescent="0.35">
      <c r="A622" s="3"/>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5"/>
    </row>
    <row r="623" spans="1:28" x14ac:dyDescent="0.35">
      <c r="A623" s="3"/>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5"/>
    </row>
    <row r="624" spans="1:28" x14ac:dyDescent="0.35">
      <c r="A624" s="3"/>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5"/>
    </row>
    <row r="625" spans="1:28" x14ac:dyDescent="0.35">
      <c r="A625" s="3"/>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5"/>
    </row>
    <row r="626" spans="1:28" x14ac:dyDescent="0.35">
      <c r="A626" s="3"/>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5"/>
    </row>
    <row r="627" spans="1:28" x14ac:dyDescent="0.35">
      <c r="A627" s="3"/>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5"/>
    </row>
    <row r="628" spans="1:28" x14ac:dyDescent="0.35">
      <c r="A628" s="3"/>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5"/>
    </row>
    <row r="629" spans="1:28" x14ac:dyDescent="0.35">
      <c r="A629" s="3"/>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5"/>
    </row>
    <row r="630" spans="1:28" x14ac:dyDescent="0.35">
      <c r="A630" s="3"/>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5"/>
    </row>
    <row r="631" spans="1:28" x14ac:dyDescent="0.35">
      <c r="A631" s="3"/>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5"/>
    </row>
    <row r="632" spans="1:28" x14ac:dyDescent="0.35">
      <c r="A632" s="3"/>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5"/>
    </row>
    <row r="633" spans="1:28" x14ac:dyDescent="0.35">
      <c r="A633" s="3"/>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5"/>
    </row>
    <row r="634" spans="1:28" x14ac:dyDescent="0.35">
      <c r="A634" s="3"/>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5"/>
    </row>
    <row r="635" spans="1:28" x14ac:dyDescent="0.35">
      <c r="A635" s="3"/>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5"/>
    </row>
    <row r="636" spans="1:28" x14ac:dyDescent="0.35">
      <c r="A636" s="3"/>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5"/>
    </row>
    <row r="637" spans="1:28" x14ac:dyDescent="0.35">
      <c r="A637" s="3"/>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5"/>
    </row>
    <row r="638" spans="1:28" x14ac:dyDescent="0.35">
      <c r="A638" s="3"/>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5"/>
    </row>
    <row r="639" spans="1:28" x14ac:dyDescent="0.35">
      <c r="A639" s="3"/>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5"/>
    </row>
    <row r="640" spans="1:28" x14ac:dyDescent="0.35">
      <c r="A640" s="3"/>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5"/>
    </row>
    <row r="641" spans="1:28" x14ac:dyDescent="0.35">
      <c r="A641" s="3"/>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5"/>
    </row>
    <row r="642" spans="1:28" x14ac:dyDescent="0.35">
      <c r="A642" s="3"/>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5"/>
    </row>
    <row r="643" spans="1:28" x14ac:dyDescent="0.35">
      <c r="A643" s="3"/>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5"/>
    </row>
    <row r="644" spans="1:28" x14ac:dyDescent="0.35">
      <c r="A644" s="3"/>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5"/>
    </row>
    <row r="645" spans="1:28" x14ac:dyDescent="0.35">
      <c r="A645" s="3"/>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5"/>
    </row>
    <row r="646" spans="1:28" x14ac:dyDescent="0.35">
      <c r="A646" s="3"/>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5"/>
    </row>
    <row r="647" spans="1:28" x14ac:dyDescent="0.35">
      <c r="A647" s="3"/>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5"/>
    </row>
    <row r="648" spans="1:28" x14ac:dyDescent="0.35">
      <c r="A648" s="3"/>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5"/>
    </row>
    <row r="649" spans="1:28" x14ac:dyDescent="0.35">
      <c r="A649" s="3"/>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5"/>
    </row>
    <row r="650" spans="1:28" x14ac:dyDescent="0.35">
      <c r="A650" s="3"/>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5"/>
    </row>
    <row r="651" spans="1:28" x14ac:dyDescent="0.35">
      <c r="A651" s="3"/>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5"/>
    </row>
    <row r="652" spans="1:28" x14ac:dyDescent="0.35">
      <c r="A652" s="3"/>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5"/>
    </row>
    <row r="653" spans="1:28" x14ac:dyDescent="0.35">
      <c r="A653" s="3"/>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5"/>
    </row>
    <row r="654" spans="1:28" x14ac:dyDescent="0.35">
      <c r="A654" s="3"/>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5"/>
    </row>
    <row r="655" spans="1:28" x14ac:dyDescent="0.35">
      <c r="A655" s="3"/>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5"/>
    </row>
    <row r="656" spans="1:28" x14ac:dyDescent="0.35">
      <c r="A656" s="3"/>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5"/>
    </row>
    <row r="657" spans="1:28" x14ac:dyDescent="0.35">
      <c r="A657" s="3"/>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5"/>
    </row>
    <row r="658" spans="1:28" x14ac:dyDescent="0.35">
      <c r="A658" s="3"/>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5"/>
    </row>
    <row r="659" spans="1:28" x14ac:dyDescent="0.35">
      <c r="A659" s="3"/>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5"/>
    </row>
    <row r="660" spans="1:28" x14ac:dyDescent="0.35">
      <c r="A660" s="3"/>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5"/>
    </row>
    <row r="661" spans="1:28" x14ac:dyDescent="0.35">
      <c r="A661" s="3"/>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5"/>
    </row>
    <row r="662" spans="1:28" x14ac:dyDescent="0.35">
      <c r="A662" s="3"/>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5"/>
    </row>
    <row r="663" spans="1:28" x14ac:dyDescent="0.35">
      <c r="A663" s="3"/>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5"/>
    </row>
    <row r="664" spans="1:28" x14ac:dyDescent="0.35">
      <c r="A664" s="3"/>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5"/>
    </row>
    <row r="665" spans="1:28" x14ac:dyDescent="0.35">
      <c r="A665" s="3"/>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5"/>
    </row>
    <row r="666" spans="1:28" x14ac:dyDescent="0.35">
      <c r="A666" s="3"/>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5"/>
    </row>
    <row r="667" spans="1:28" x14ac:dyDescent="0.35">
      <c r="A667" s="3"/>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5"/>
    </row>
    <row r="668" spans="1:28" x14ac:dyDescent="0.35">
      <c r="A668" s="3"/>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5"/>
    </row>
    <row r="669" spans="1:28" x14ac:dyDescent="0.35">
      <c r="A669" s="3"/>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5"/>
    </row>
    <row r="670" spans="1:28" x14ac:dyDescent="0.35">
      <c r="A670" s="3"/>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5"/>
    </row>
    <row r="671" spans="1:28" x14ac:dyDescent="0.35">
      <c r="A671" s="3"/>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5"/>
    </row>
    <row r="672" spans="1:28" x14ac:dyDescent="0.35">
      <c r="A672" s="3"/>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5"/>
    </row>
    <row r="673" spans="1:28" x14ac:dyDescent="0.35">
      <c r="A673" s="3"/>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5"/>
    </row>
    <row r="674" spans="1:28" x14ac:dyDescent="0.35">
      <c r="A674" s="3"/>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5"/>
    </row>
    <row r="675" spans="1:28" x14ac:dyDescent="0.35">
      <c r="A675" s="3"/>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5"/>
    </row>
    <row r="676" spans="1:28" x14ac:dyDescent="0.35">
      <c r="A676" s="3"/>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5"/>
    </row>
    <row r="677" spans="1:28" x14ac:dyDescent="0.35">
      <c r="A677" s="3"/>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5"/>
    </row>
    <row r="678" spans="1:28" x14ac:dyDescent="0.35">
      <c r="A678" s="3"/>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5"/>
    </row>
    <row r="679" spans="1:28" x14ac:dyDescent="0.35">
      <c r="A679" s="3"/>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5"/>
    </row>
    <row r="680" spans="1:28" x14ac:dyDescent="0.35">
      <c r="A680" s="3"/>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5"/>
    </row>
    <row r="681" spans="1:28" x14ac:dyDescent="0.35">
      <c r="A681" s="3"/>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5"/>
    </row>
    <row r="682" spans="1:28" x14ac:dyDescent="0.35">
      <c r="A682" s="3"/>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5"/>
    </row>
    <row r="683" spans="1:28" x14ac:dyDescent="0.35">
      <c r="A683" s="3"/>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5"/>
    </row>
    <row r="684" spans="1:28" x14ac:dyDescent="0.35">
      <c r="A684" s="3"/>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5"/>
    </row>
    <row r="685" spans="1:28" x14ac:dyDescent="0.35">
      <c r="A685" s="3"/>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5"/>
    </row>
    <row r="686" spans="1:28" x14ac:dyDescent="0.35">
      <c r="A686" s="3"/>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5"/>
    </row>
    <row r="687" spans="1:28" x14ac:dyDescent="0.35">
      <c r="A687" s="3"/>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5"/>
    </row>
    <row r="688" spans="1:28" x14ac:dyDescent="0.35">
      <c r="A688" s="3"/>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5"/>
    </row>
    <row r="689" spans="1:28" x14ac:dyDescent="0.35">
      <c r="A689" s="3"/>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5"/>
    </row>
    <row r="690" spans="1:28" x14ac:dyDescent="0.35">
      <c r="A690" s="3"/>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5"/>
    </row>
    <row r="691" spans="1:28" x14ac:dyDescent="0.35">
      <c r="A691" s="3"/>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5"/>
    </row>
    <row r="692" spans="1:28" x14ac:dyDescent="0.35">
      <c r="A692" s="3"/>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5"/>
    </row>
    <row r="693" spans="1:28" x14ac:dyDescent="0.35">
      <c r="A693" s="3"/>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5"/>
    </row>
    <row r="694" spans="1:28" x14ac:dyDescent="0.35">
      <c r="A694" s="3"/>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5"/>
    </row>
    <row r="695" spans="1:28" x14ac:dyDescent="0.35">
      <c r="A695" s="3"/>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5"/>
    </row>
    <row r="696" spans="1:28" x14ac:dyDescent="0.35">
      <c r="A696" s="3"/>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5"/>
    </row>
    <row r="697" spans="1:28" x14ac:dyDescent="0.35">
      <c r="A697" s="3"/>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5"/>
    </row>
    <row r="698" spans="1:28" x14ac:dyDescent="0.35">
      <c r="A698" s="3"/>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5"/>
    </row>
    <row r="699" spans="1:28" x14ac:dyDescent="0.35">
      <c r="A699" s="3"/>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5"/>
    </row>
    <row r="700" spans="1:28" x14ac:dyDescent="0.35">
      <c r="A700" s="3"/>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5"/>
    </row>
    <row r="701" spans="1:28" x14ac:dyDescent="0.35">
      <c r="A701" s="3"/>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5"/>
    </row>
    <row r="702" spans="1:28" x14ac:dyDescent="0.35">
      <c r="A702" s="3"/>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5"/>
    </row>
    <row r="703" spans="1:28" x14ac:dyDescent="0.35">
      <c r="A703" s="3"/>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5"/>
    </row>
    <row r="704" spans="1:28" x14ac:dyDescent="0.35">
      <c r="A704" s="3"/>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5"/>
    </row>
    <row r="705" spans="1:28" x14ac:dyDescent="0.35">
      <c r="A705" s="3"/>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5"/>
    </row>
    <row r="706" spans="1:28" x14ac:dyDescent="0.35">
      <c r="A706" s="3"/>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5"/>
    </row>
    <row r="707" spans="1:28" x14ac:dyDescent="0.35">
      <c r="A707" s="3"/>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5"/>
    </row>
    <row r="708" spans="1:28" x14ac:dyDescent="0.35">
      <c r="A708" s="3"/>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5"/>
    </row>
    <row r="709" spans="1:28" x14ac:dyDescent="0.35">
      <c r="A709" s="3"/>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5"/>
    </row>
    <row r="710" spans="1:28" x14ac:dyDescent="0.35">
      <c r="A710" s="3"/>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5"/>
    </row>
    <row r="711" spans="1:28" x14ac:dyDescent="0.35">
      <c r="A711" s="3"/>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5"/>
    </row>
    <row r="712" spans="1:28" x14ac:dyDescent="0.35">
      <c r="A712" s="3"/>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5"/>
    </row>
    <row r="713" spans="1:28" x14ac:dyDescent="0.35">
      <c r="A713" s="3"/>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5"/>
    </row>
    <row r="714" spans="1:28" x14ac:dyDescent="0.35">
      <c r="A714" s="3"/>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5"/>
    </row>
    <row r="715" spans="1:28" x14ac:dyDescent="0.35">
      <c r="A715" s="3"/>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5"/>
    </row>
    <row r="716" spans="1:28" x14ac:dyDescent="0.35">
      <c r="A716" s="3"/>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5"/>
    </row>
    <row r="717" spans="1:28" x14ac:dyDescent="0.35">
      <c r="A717" s="3"/>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5"/>
    </row>
    <row r="718" spans="1:28" x14ac:dyDescent="0.35">
      <c r="A718" s="3"/>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5"/>
    </row>
    <row r="719" spans="1:28" x14ac:dyDescent="0.35">
      <c r="A719" s="3"/>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5"/>
    </row>
    <row r="720" spans="1:28" x14ac:dyDescent="0.35">
      <c r="A720" s="3"/>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5"/>
    </row>
    <row r="721" spans="1:28" x14ac:dyDescent="0.35">
      <c r="A721" s="3"/>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5"/>
    </row>
    <row r="722" spans="1:28" x14ac:dyDescent="0.35">
      <c r="A722" s="3"/>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5"/>
    </row>
    <row r="723" spans="1:28" x14ac:dyDescent="0.35">
      <c r="A723" s="3"/>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5"/>
    </row>
    <row r="724" spans="1:28" x14ac:dyDescent="0.35">
      <c r="A724" s="3"/>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5"/>
    </row>
    <row r="725" spans="1:28" x14ac:dyDescent="0.35">
      <c r="A725" s="3"/>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5"/>
    </row>
    <row r="726" spans="1:28" x14ac:dyDescent="0.35">
      <c r="A726" s="3"/>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5"/>
    </row>
    <row r="727" spans="1:28" x14ac:dyDescent="0.35">
      <c r="A727" s="3"/>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5"/>
    </row>
    <row r="728" spans="1:28" x14ac:dyDescent="0.35">
      <c r="A728" s="3"/>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5"/>
    </row>
    <row r="729" spans="1:28" x14ac:dyDescent="0.35">
      <c r="A729" s="3"/>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5"/>
    </row>
    <row r="730" spans="1:28" x14ac:dyDescent="0.35">
      <c r="A730" s="3"/>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5"/>
    </row>
    <row r="731" spans="1:28" x14ac:dyDescent="0.35">
      <c r="A731" s="3"/>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5"/>
    </row>
    <row r="732" spans="1:28" x14ac:dyDescent="0.35">
      <c r="A732" s="3"/>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5"/>
    </row>
    <row r="733" spans="1:28" x14ac:dyDescent="0.35">
      <c r="A733" s="3"/>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5"/>
    </row>
    <row r="734" spans="1:28" x14ac:dyDescent="0.35">
      <c r="A734" s="3"/>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5"/>
    </row>
    <row r="735" spans="1:28" x14ac:dyDescent="0.35">
      <c r="A735" s="3"/>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5"/>
    </row>
    <row r="736" spans="1:28" x14ac:dyDescent="0.35">
      <c r="A736" s="3"/>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5"/>
    </row>
    <row r="737" spans="1:28" x14ac:dyDescent="0.35">
      <c r="A737" s="3"/>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5"/>
    </row>
    <row r="738" spans="1:28" x14ac:dyDescent="0.35">
      <c r="A738" s="3"/>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5"/>
    </row>
    <row r="739" spans="1:28" x14ac:dyDescent="0.35">
      <c r="A739" s="3"/>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5"/>
    </row>
    <row r="740" spans="1:28" x14ac:dyDescent="0.35">
      <c r="A740" s="3"/>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5"/>
    </row>
    <row r="741" spans="1:28" x14ac:dyDescent="0.35">
      <c r="A741" s="3"/>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5"/>
    </row>
    <row r="742" spans="1:28" x14ac:dyDescent="0.35">
      <c r="A742" s="3"/>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5"/>
    </row>
    <row r="743" spans="1:28" x14ac:dyDescent="0.35">
      <c r="A743" s="3"/>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5"/>
    </row>
    <row r="744" spans="1:28" x14ac:dyDescent="0.35">
      <c r="A744" s="3"/>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5"/>
    </row>
    <row r="745" spans="1:28" x14ac:dyDescent="0.35">
      <c r="A745" s="3"/>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5"/>
    </row>
    <row r="746" spans="1:28" x14ac:dyDescent="0.35">
      <c r="A746" s="3"/>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5"/>
    </row>
    <row r="747" spans="1:28" x14ac:dyDescent="0.35">
      <c r="A747" s="3"/>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5"/>
    </row>
    <row r="748" spans="1:28" x14ac:dyDescent="0.35">
      <c r="A748" s="3"/>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5"/>
    </row>
    <row r="749" spans="1:28" x14ac:dyDescent="0.35">
      <c r="A749" s="3"/>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5"/>
    </row>
    <row r="750" spans="1:28" x14ac:dyDescent="0.35">
      <c r="A750" s="3"/>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5"/>
    </row>
    <row r="751" spans="1:28" x14ac:dyDescent="0.35">
      <c r="A751" s="3"/>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5"/>
    </row>
    <row r="752" spans="1:28" x14ac:dyDescent="0.35">
      <c r="A752" s="3"/>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5"/>
    </row>
    <row r="753" spans="1:28" x14ac:dyDescent="0.35">
      <c r="A753" s="3"/>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5"/>
    </row>
    <row r="754" spans="1:28" x14ac:dyDescent="0.35">
      <c r="A754" s="3"/>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5"/>
    </row>
    <row r="755" spans="1:28" x14ac:dyDescent="0.35">
      <c r="A755" s="3"/>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5"/>
    </row>
    <row r="756" spans="1:28" x14ac:dyDescent="0.35">
      <c r="A756" s="3"/>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5"/>
    </row>
    <row r="757" spans="1:28" x14ac:dyDescent="0.35">
      <c r="A757" s="3"/>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5"/>
    </row>
    <row r="758" spans="1:28" x14ac:dyDescent="0.35">
      <c r="A758" s="3"/>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5"/>
    </row>
    <row r="759" spans="1:28" x14ac:dyDescent="0.35">
      <c r="A759" s="3"/>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5"/>
    </row>
    <row r="760" spans="1:28" x14ac:dyDescent="0.35">
      <c r="A760" s="3"/>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5"/>
    </row>
    <row r="761" spans="1:28" x14ac:dyDescent="0.35">
      <c r="A761" s="3"/>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5"/>
    </row>
    <row r="762" spans="1:28" x14ac:dyDescent="0.35">
      <c r="A762" s="3"/>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5"/>
    </row>
    <row r="763" spans="1:28" x14ac:dyDescent="0.35">
      <c r="A763" s="3"/>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5"/>
    </row>
    <row r="764" spans="1:28" x14ac:dyDescent="0.35">
      <c r="A764" s="3"/>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5"/>
    </row>
    <row r="765" spans="1:28" x14ac:dyDescent="0.35">
      <c r="A765" s="3"/>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5"/>
    </row>
    <row r="766" spans="1:28" x14ac:dyDescent="0.35">
      <c r="A766" s="3"/>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5"/>
    </row>
    <row r="767" spans="1:28" x14ac:dyDescent="0.35">
      <c r="A767" s="3"/>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5"/>
    </row>
    <row r="768" spans="1:28" x14ac:dyDescent="0.35">
      <c r="A768" s="3"/>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5"/>
    </row>
    <row r="769" spans="1:28" x14ac:dyDescent="0.35">
      <c r="A769" s="3"/>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5"/>
    </row>
    <row r="770" spans="1:28" x14ac:dyDescent="0.35">
      <c r="A770" s="3"/>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5"/>
    </row>
    <row r="771" spans="1:28" x14ac:dyDescent="0.35">
      <c r="A771" s="3"/>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5"/>
    </row>
    <row r="772" spans="1:28" x14ac:dyDescent="0.35">
      <c r="A772" s="3"/>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5"/>
    </row>
    <row r="773" spans="1:28" x14ac:dyDescent="0.35">
      <c r="A773" s="3"/>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5"/>
    </row>
    <row r="774" spans="1:28" x14ac:dyDescent="0.35">
      <c r="A774" s="3"/>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5"/>
    </row>
    <row r="775" spans="1:28" x14ac:dyDescent="0.35">
      <c r="A775" s="3"/>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5"/>
    </row>
    <row r="776" spans="1:28" x14ac:dyDescent="0.35">
      <c r="A776" s="3"/>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5"/>
    </row>
    <row r="777" spans="1:28" x14ac:dyDescent="0.35">
      <c r="A777" s="3"/>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5"/>
    </row>
    <row r="778" spans="1:28" x14ac:dyDescent="0.35">
      <c r="A778" s="3"/>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5"/>
    </row>
    <row r="779" spans="1:28" x14ac:dyDescent="0.35">
      <c r="A779" s="3"/>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5"/>
    </row>
    <row r="780" spans="1:28" x14ac:dyDescent="0.35">
      <c r="A780" s="3"/>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5"/>
    </row>
    <row r="781" spans="1:28" x14ac:dyDescent="0.35">
      <c r="A781" s="3"/>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5"/>
    </row>
    <row r="782" spans="1:28" x14ac:dyDescent="0.35">
      <c r="A782" s="3"/>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5"/>
    </row>
    <row r="783" spans="1:28" x14ac:dyDescent="0.35">
      <c r="A783" s="3"/>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5"/>
    </row>
    <row r="784" spans="1:28" x14ac:dyDescent="0.35">
      <c r="A784" s="3"/>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5"/>
    </row>
    <row r="785" spans="1:28" x14ac:dyDescent="0.35">
      <c r="A785" s="3"/>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5"/>
    </row>
    <row r="786" spans="1:28" x14ac:dyDescent="0.35">
      <c r="A786" s="3"/>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5"/>
    </row>
    <row r="787" spans="1:28" x14ac:dyDescent="0.35">
      <c r="A787" s="3"/>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5"/>
    </row>
    <row r="788" spans="1:28" x14ac:dyDescent="0.35">
      <c r="A788" s="3"/>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5"/>
    </row>
    <row r="789" spans="1:28" x14ac:dyDescent="0.35">
      <c r="A789" s="3"/>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5"/>
    </row>
    <row r="790" spans="1:28" x14ac:dyDescent="0.35">
      <c r="A790" s="3"/>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5"/>
    </row>
    <row r="791" spans="1:28" x14ac:dyDescent="0.35">
      <c r="A791" s="3"/>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5"/>
    </row>
    <row r="792" spans="1:28" x14ac:dyDescent="0.35">
      <c r="A792" s="3"/>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5"/>
    </row>
    <row r="793" spans="1:28" x14ac:dyDescent="0.35">
      <c r="A793" s="3"/>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5"/>
    </row>
    <row r="794" spans="1:28" x14ac:dyDescent="0.35">
      <c r="A794" s="3"/>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5"/>
    </row>
    <row r="795" spans="1:28" x14ac:dyDescent="0.35">
      <c r="A795" s="3"/>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5"/>
    </row>
    <row r="796" spans="1:28" x14ac:dyDescent="0.35">
      <c r="A796" s="3"/>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5"/>
    </row>
    <row r="797" spans="1:28" x14ac:dyDescent="0.35">
      <c r="A797" s="3"/>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5"/>
    </row>
    <row r="798" spans="1:28" x14ac:dyDescent="0.35">
      <c r="A798" s="3"/>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5"/>
    </row>
    <row r="799" spans="1:28" x14ac:dyDescent="0.35">
      <c r="A799" s="3"/>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5"/>
    </row>
    <row r="800" spans="1:28" x14ac:dyDescent="0.35">
      <c r="A800" s="3"/>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5"/>
    </row>
    <row r="801" spans="1:28" x14ac:dyDescent="0.35">
      <c r="A801" s="3"/>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5"/>
    </row>
    <row r="802" spans="1:28" x14ac:dyDescent="0.35">
      <c r="A802" s="3"/>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5"/>
    </row>
    <row r="803" spans="1:28" x14ac:dyDescent="0.35">
      <c r="A803" s="3"/>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5"/>
    </row>
    <row r="804" spans="1:28" x14ac:dyDescent="0.35">
      <c r="A804" s="3"/>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5"/>
    </row>
    <row r="805" spans="1:28" x14ac:dyDescent="0.35">
      <c r="A805" s="3"/>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5"/>
    </row>
    <row r="806" spans="1:28" x14ac:dyDescent="0.35">
      <c r="A806" s="3"/>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5"/>
    </row>
    <row r="807" spans="1:28" x14ac:dyDescent="0.35">
      <c r="A807" s="3"/>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5"/>
    </row>
    <row r="808" spans="1:28" x14ac:dyDescent="0.35">
      <c r="A808" s="3"/>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5"/>
    </row>
    <row r="809" spans="1:28" x14ac:dyDescent="0.35">
      <c r="A809" s="3"/>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5"/>
    </row>
    <row r="810" spans="1:28" x14ac:dyDescent="0.35">
      <c r="A810" s="3"/>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5"/>
    </row>
    <row r="811" spans="1:28" x14ac:dyDescent="0.35">
      <c r="A811" s="3"/>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5"/>
    </row>
    <row r="812" spans="1:28" x14ac:dyDescent="0.35">
      <c r="A812" s="3"/>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5"/>
    </row>
    <row r="813" spans="1:28" x14ac:dyDescent="0.35">
      <c r="A813" s="3"/>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5"/>
    </row>
    <row r="814" spans="1:28" x14ac:dyDescent="0.35">
      <c r="A814" s="3"/>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5"/>
    </row>
    <row r="815" spans="1:28" x14ac:dyDescent="0.35">
      <c r="A815" s="3"/>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5"/>
    </row>
    <row r="816" spans="1:28" x14ac:dyDescent="0.35">
      <c r="A816" s="3"/>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5"/>
    </row>
    <row r="817" spans="1:28" x14ac:dyDescent="0.35">
      <c r="A817" s="3"/>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5"/>
    </row>
    <row r="818" spans="1:28" x14ac:dyDescent="0.35">
      <c r="A818" s="3"/>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5"/>
    </row>
    <row r="819" spans="1:28" x14ac:dyDescent="0.35">
      <c r="A819" s="3"/>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5"/>
    </row>
    <row r="820" spans="1:28" x14ac:dyDescent="0.35">
      <c r="A820" s="3"/>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5"/>
    </row>
    <row r="821" spans="1:28" x14ac:dyDescent="0.35">
      <c r="A821" s="3"/>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5"/>
    </row>
    <row r="822" spans="1:28" x14ac:dyDescent="0.35">
      <c r="A822" s="3"/>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5"/>
    </row>
    <row r="823" spans="1:28" x14ac:dyDescent="0.35">
      <c r="A823" s="3"/>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5"/>
    </row>
    <row r="824" spans="1:28" x14ac:dyDescent="0.35">
      <c r="A824" s="3"/>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5"/>
    </row>
    <row r="825" spans="1:28" x14ac:dyDescent="0.35">
      <c r="A825" s="3"/>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5"/>
    </row>
    <row r="826" spans="1:28" x14ac:dyDescent="0.35">
      <c r="A826" s="3"/>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5"/>
    </row>
    <row r="827" spans="1:28" x14ac:dyDescent="0.35">
      <c r="A827" s="3"/>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5"/>
    </row>
    <row r="828" spans="1:28" x14ac:dyDescent="0.35">
      <c r="A828" s="3"/>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5"/>
    </row>
    <row r="829" spans="1:28" x14ac:dyDescent="0.35">
      <c r="A829" s="3"/>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5"/>
    </row>
    <row r="830" spans="1:28" x14ac:dyDescent="0.35">
      <c r="A830" s="3"/>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5"/>
    </row>
    <row r="831" spans="1:28" x14ac:dyDescent="0.35">
      <c r="A831" s="3"/>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5"/>
    </row>
    <row r="832" spans="1:28" x14ac:dyDescent="0.35">
      <c r="A832" s="3"/>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5"/>
    </row>
    <row r="833" spans="1:28" x14ac:dyDescent="0.35">
      <c r="A833" s="3"/>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5"/>
    </row>
    <row r="834" spans="1:28" x14ac:dyDescent="0.35">
      <c r="A834" s="3"/>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5"/>
    </row>
    <row r="835" spans="1:28" x14ac:dyDescent="0.35">
      <c r="A835" s="3"/>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5"/>
    </row>
    <row r="836" spans="1:28" x14ac:dyDescent="0.35">
      <c r="A836" s="3"/>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5"/>
    </row>
    <row r="837" spans="1:28" x14ac:dyDescent="0.35">
      <c r="A837" s="3"/>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5"/>
    </row>
    <row r="838" spans="1:28" x14ac:dyDescent="0.35">
      <c r="A838" s="3"/>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5"/>
    </row>
    <row r="839" spans="1:28" x14ac:dyDescent="0.35">
      <c r="A839" s="3"/>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5"/>
    </row>
    <row r="840" spans="1:28" x14ac:dyDescent="0.35">
      <c r="A840" s="3"/>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5"/>
    </row>
    <row r="841" spans="1:28" x14ac:dyDescent="0.35">
      <c r="A841" s="3"/>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5"/>
    </row>
    <row r="842" spans="1:28" x14ac:dyDescent="0.35">
      <c r="A842" s="3"/>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5"/>
    </row>
    <row r="843" spans="1:28" x14ac:dyDescent="0.35">
      <c r="A843" s="3"/>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5"/>
    </row>
    <row r="844" spans="1:28" x14ac:dyDescent="0.35">
      <c r="A844" s="3"/>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5"/>
    </row>
    <row r="845" spans="1:28" x14ac:dyDescent="0.35">
      <c r="A845" s="3"/>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5"/>
    </row>
    <row r="846" spans="1:28" x14ac:dyDescent="0.35">
      <c r="A846" s="3"/>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5"/>
    </row>
    <row r="847" spans="1:28" x14ac:dyDescent="0.35">
      <c r="A847" s="3"/>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5"/>
    </row>
    <row r="848" spans="1:28" x14ac:dyDescent="0.35">
      <c r="A848" s="3"/>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5"/>
    </row>
    <row r="849" spans="1:28" x14ac:dyDescent="0.35">
      <c r="A849" s="3"/>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5"/>
    </row>
    <row r="850" spans="1:28" x14ac:dyDescent="0.35">
      <c r="A850" s="3"/>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5"/>
    </row>
    <row r="851" spans="1:28" x14ac:dyDescent="0.35">
      <c r="A851" s="3"/>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5"/>
    </row>
    <row r="852" spans="1:28" x14ac:dyDescent="0.35">
      <c r="A852" s="3"/>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5"/>
    </row>
    <row r="853" spans="1:28" x14ac:dyDescent="0.35">
      <c r="A853" s="3"/>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5"/>
    </row>
    <row r="854" spans="1:28" x14ac:dyDescent="0.35">
      <c r="A854" s="3"/>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5"/>
    </row>
    <row r="855" spans="1:28" x14ac:dyDescent="0.35">
      <c r="A855" s="3"/>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5"/>
    </row>
    <row r="856" spans="1:28" x14ac:dyDescent="0.35">
      <c r="A856" s="3"/>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5"/>
    </row>
    <row r="857" spans="1:28" x14ac:dyDescent="0.35">
      <c r="A857" s="3"/>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5"/>
    </row>
    <row r="858" spans="1:28" x14ac:dyDescent="0.35">
      <c r="A858" s="3"/>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5"/>
    </row>
    <row r="859" spans="1:28" x14ac:dyDescent="0.35">
      <c r="A859" s="3"/>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5"/>
    </row>
    <row r="860" spans="1:28" x14ac:dyDescent="0.35">
      <c r="A860" s="3"/>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5"/>
    </row>
    <row r="861" spans="1:28" x14ac:dyDescent="0.35">
      <c r="A861" s="3"/>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5"/>
    </row>
    <row r="862" spans="1:28" x14ac:dyDescent="0.35">
      <c r="A862" s="3"/>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5"/>
    </row>
    <row r="863" spans="1:28" x14ac:dyDescent="0.35">
      <c r="A863" s="3"/>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5"/>
    </row>
    <row r="864" spans="1:28" x14ac:dyDescent="0.35">
      <c r="A864" s="3"/>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5"/>
    </row>
    <row r="865" spans="1:28" x14ac:dyDescent="0.35">
      <c r="A865" s="3"/>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5"/>
    </row>
    <row r="866" spans="1:28" x14ac:dyDescent="0.35">
      <c r="A866" s="3"/>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5"/>
    </row>
    <row r="867" spans="1:28" x14ac:dyDescent="0.35">
      <c r="A867" s="3"/>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5"/>
    </row>
    <row r="868" spans="1:28" x14ac:dyDescent="0.35">
      <c r="A868" s="3"/>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5"/>
    </row>
    <row r="869" spans="1:28" x14ac:dyDescent="0.35">
      <c r="A869" s="3"/>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5"/>
    </row>
    <row r="870" spans="1:28" x14ac:dyDescent="0.35">
      <c r="A870" s="3"/>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5"/>
    </row>
    <row r="871" spans="1:28" x14ac:dyDescent="0.35">
      <c r="A871" s="3"/>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5"/>
    </row>
    <row r="872" spans="1:28" x14ac:dyDescent="0.35">
      <c r="A872" s="3"/>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5"/>
    </row>
    <row r="873" spans="1:28" x14ac:dyDescent="0.35">
      <c r="A873" s="3"/>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5"/>
    </row>
    <row r="874" spans="1:28" x14ac:dyDescent="0.35">
      <c r="A874" s="3"/>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5"/>
    </row>
    <row r="875" spans="1:28" x14ac:dyDescent="0.35">
      <c r="A875" s="3"/>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5"/>
    </row>
    <row r="876" spans="1:28" x14ac:dyDescent="0.35">
      <c r="A876" s="3"/>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5"/>
    </row>
    <row r="877" spans="1:28" x14ac:dyDescent="0.35">
      <c r="A877" s="3"/>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5"/>
    </row>
    <row r="878" spans="1:28" x14ac:dyDescent="0.35">
      <c r="A878" s="3"/>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5"/>
    </row>
    <row r="879" spans="1:28" x14ac:dyDescent="0.35">
      <c r="A879" s="3"/>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5"/>
    </row>
    <row r="880" spans="1:28" x14ac:dyDescent="0.35">
      <c r="A880" s="3"/>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5"/>
    </row>
    <row r="881" spans="1:28" x14ac:dyDescent="0.35">
      <c r="A881" s="3"/>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5"/>
    </row>
    <row r="882" spans="1:28" x14ac:dyDescent="0.35">
      <c r="A882" s="3"/>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5"/>
    </row>
    <row r="883" spans="1:28" x14ac:dyDescent="0.35">
      <c r="A883" s="3"/>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5"/>
    </row>
    <row r="884" spans="1:28" x14ac:dyDescent="0.35">
      <c r="A884" s="3"/>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5"/>
    </row>
    <row r="885" spans="1:28" x14ac:dyDescent="0.35">
      <c r="A885" s="3"/>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5"/>
    </row>
    <row r="886" spans="1:28" x14ac:dyDescent="0.35">
      <c r="A886" s="3"/>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5"/>
    </row>
    <row r="887" spans="1:28" x14ac:dyDescent="0.35">
      <c r="A887" s="3"/>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5"/>
    </row>
    <row r="888" spans="1:28" x14ac:dyDescent="0.35">
      <c r="A888" s="3"/>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5"/>
    </row>
    <row r="889" spans="1:28" x14ac:dyDescent="0.35">
      <c r="A889" s="3"/>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5"/>
    </row>
    <row r="890" spans="1:28" x14ac:dyDescent="0.35">
      <c r="A890" s="3"/>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5"/>
    </row>
    <row r="891" spans="1:28" x14ac:dyDescent="0.35">
      <c r="A891" s="3"/>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5"/>
    </row>
    <row r="892" spans="1:28" x14ac:dyDescent="0.35">
      <c r="A892" s="3"/>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5"/>
    </row>
    <row r="893" spans="1:28" x14ac:dyDescent="0.35">
      <c r="A893" s="3"/>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5"/>
    </row>
    <row r="894" spans="1:28" x14ac:dyDescent="0.35">
      <c r="A894" s="3"/>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5"/>
    </row>
    <row r="895" spans="1:28" x14ac:dyDescent="0.35">
      <c r="A895" s="3"/>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5"/>
    </row>
    <row r="896" spans="1:28" x14ac:dyDescent="0.35">
      <c r="A896" s="3"/>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5"/>
    </row>
    <row r="897" spans="1:28" x14ac:dyDescent="0.35">
      <c r="A897" s="3"/>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5"/>
    </row>
    <row r="898" spans="1:28" x14ac:dyDescent="0.35">
      <c r="A898" s="3"/>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5"/>
    </row>
    <row r="899" spans="1:28" x14ac:dyDescent="0.35">
      <c r="A899" s="3"/>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5"/>
    </row>
    <row r="900" spans="1:28" x14ac:dyDescent="0.35">
      <c r="A900" s="3"/>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5"/>
    </row>
    <row r="901" spans="1:28" x14ac:dyDescent="0.35">
      <c r="A901" s="3"/>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5"/>
    </row>
    <row r="902" spans="1:28" x14ac:dyDescent="0.35">
      <c r="A902" s="3"/>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5"/>
    </row>
    <row r="903" spans="1:28" x14ac:dyDescent="0.35">
      <c r="A903" s="3"/>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5"/>
    </row>
    <row r="904" spans="1:28" x14ac:dyDescent="0.35">
      <c r="A904" s="3"/>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5"/>
    </row>
    <row r="905" spans="1:28" x14ac:dyDescent="0.35">
      <c r="A905" s="3"/>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5"/>
    </row>
    <row r="906" spans="1:28" x14ac:dyDescent="0.35">
      <c r="A906" s="3"/>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5"/>
    </row>
    <row r="907" spans="1:28" x14ac:dyDescent="0.35">
      <c r="A907" s="3"/>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5"/>
    </row>
    <row r="908" spans="1:28" x14ac:dyDescent="0.35">
      <c r="A908" s="3"/>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5"/>
    </row>
    <row r="909" spans="1:28" x14ac:dyDescent="0.35">
      <c r="A909" s="3"/>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5"/>
    </row>
    <row r="910" spans="1:28" x14ac:dyDescent="0.35">
      <c r="A910" s="3"/>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5"/>
    </row>
    <row r="911" spans="1:28" x14ac:dyDescent="0.35">
      <c r="A911" s="3"/>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5"/>
    </row>
    <row r="912" spans="1:28" x14ac:dyDescent="0.35">
      <c r="A912" s="3"/>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5"/>
    </row>
    <row r="913" spans="1:28" x14ac:dyDescent="0.35">
      <c r="A913" s="3"/>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5"/>
    </row>
    <row r="914" spans="1:28" x14ac:dyDescent="0.35">
      <c r="A914" s="3"/>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5"/>
    </row>
    <row r="915" spans="1:28" x14ac:dyDescent="0.35">
      <c r="A915" s="3"/>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5"/>
    </row>
    <row r="916" spans="1:28" x14ac:dyDescent="0.35">
      <c r="A916" s="3"/>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5"/>
    </row>
    <row r="917" spans="1:28" x14ac:dyDescent="0.35">
      <c r="A917" s="3"/>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5"/>
    </row>
    <row r="918" spans="1:28" x14ac:dyDescent="0.35">
      <c r="A918" s="3"/>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5"/>
    </row>
    <row r="919" spans="1:28" x14ac:dyDescent="0.35">
      <c r="A919" s="3"/>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5"/>
    </row>
    <row r="920" spans="1:28" x14ac:dyDescent="0.35">
      <c r="A920" s="3"/>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5"/>
    </row>
    <row r="921" spans="1:28" x14ac:dyDescent="0.35">
      <c r="A921" s="3"/>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5"/>
    </row>
    <row r="922" spans="1:28" x14ac:dyDescent="0.35">
      <c r="A922" s="3"/>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5"/>
    </row>
    <row r="923" spans="1:28" x14ac:dyDescent="0.35">
      <c r="A923" s="3"/>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5"/>
    </row>
    <row r="924" spans="1:28" x14ac:dyDescent="0.35">
      <c r="A924" s="3"/>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5"/>
    </row>
    <row r="925" spans="1:28" x14ac:dyDescent="0.35">
      <c r="A925" s="3"/>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5"/>
    </row>
    <row r="926" spans="1:28" x14ac:dyDescent="0.35">
      <c r="A926" s="3"/>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5"/>
    </row>
    <row r="927" spans="1:28" x14ac:dyDescent="0.35">
      <c r="A927" s="3"/>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5"/>
    </row>
    <row r="928" spans="1:28" x14ac:dyDescent="0.35">
      <c r="A928" s="3"/>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5"/>
    </row>
    <row r="929" spans="1:28" x14ac:dyDescent="0.35">
      <c r="A929" s="3"/>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5"/>
    </row>
    <row r="930" spans="1:28" x14ac:dyDescent="0.35">
      <c r="A930" s="3"/>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5"/>
    </row>
    <row r="931" spans="1:28" x14ac:dyDescent="0.35">
      <c r="A931" s="3"/>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5"/>
    </row>
    <row r="932" spans="1:28" x14ac:dyDescent="0.35">
      <c r="A932" s="3"/>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5"/>
    </row>
    <row r="933" spans="1:28" x14ac:dyDescent="0.35">
      <c r="A933" s="3"/>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5"/>
    </row>
    <row r="934" spans="1:28" x14ac:dyDescent="0.35">
      <c r="A934" s="3"/>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5"/>
    </row>
    <row r="935" spans="1:28" x14ac:dyDescent="0.35">
      <c r="A935" s="3"/>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5"/>
    </row>
    <row r="936" spans="1:28" x14ac:dyDescent="0.35">
      <c r="A936" s="3"/>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5"/>
    </row>
    <row r="937" spans="1:28" x14ac:dyDescent="0.35">
      <c r="A937" s="3"/>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5"/>
    </row>
    <row r="938" spans="1:28" x14ac:dyDescent="0.35">
      <c r="A938" s="3"/>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5"/>
    </row>
    <row r="939" spans="1:28" x14ac:dyDescent="0.35">
      <c r="A939" s="3"/>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5"/>
    </row>
    <row r="940" spans="1:28" x14ac:dyDescent="0.35">
      <c r="A940" s="3"/>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5"/>
    </row>
    <row r="941" spans="1:28" x14ac:dyDescent="0.35">
      <c r="A941" s="3"/>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5"/>
    </row>
    <row r="942" spans="1:28" x14ac:dyDescent="0.35">
      <c r="A942" s="3"/>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5"/>
    </row>
    <row r="943" spans="1:28" x14ac:dyDescent="0.35">
      <c r="A943" s="3"/>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5"/>
    </row>
    <row r="944" spans="1:28" x14ac:dyDescent="0.35">
      <c r="A944" s="3"/>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5"/>
    </row>
    <row r="945" spans="1:28" x14ac:dyDescent="0.35">
      <c r="A945" s="3"/>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5"/>
    </row>
    <row r="946" spans="1:28" x14ac:dyDescent="0.35">
      <c r="A946" s="3"/>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5"/>
    </row>
    <row r="947" spans="1:28" x14ac:dyDescent="0.35">
      <c r="A947" s="3"/>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5"/>
    </row>
    <row r="948" spans="1:28" x14ac:dyDescent="0.35">
      <c r="A948" s="3"/>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5"/>
    </row>
    <row r="949" spans="1:28" x14ac:dyDescent="0.35">
      <c r="A949" s="3"/>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5"/>
    </row>
    <row r="950" spans="1:28" x14ac:dyDescent="0.35">
      <c r="A950" s="3"/>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5"/>
    </row>
    <row r="951" spans="1:28" x14ac:dyDescent="0.35">
      <c r="A951" s="3"/>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5"/>
    </row>
    <row r="952" spans="1:28" x14ac:dyDescent="0.35">
      <c r="A952" s="3"/>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5"/>
    </row>
    <row r="953" spans="1:28" x14ac:dyDescent="0.35">
      <c r="A953" s="3"/>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5"/>
    </row>
    <row r="954" spans="1:28" x14ac:dyDescent="0.35">
      <c r="A954" s="3"/>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5"/>
    </row>
    <row r="955" spans="1:28" x14ac:dyDescent="0.35">
      <c r="A955" s="3"/>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5"/>
    </row>
    <row r="956" spans="1:28" x14ac:dyDescent="0.35">
      <c r="A956" s="3"/>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5"/>
    </row>
    <row r="957" spans="1:28" x14ac:dyDescent="0.35">
      <c r="A957" s="3"/>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5"/>
    </row>
    <row r="958" spans="1:28" x14ac:dyDescent="0.35">
      <c r="A958" s="3"/>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5"/>
    </row>
    <row r="959" spans="1:28" x14ac:dyDescent="0.35">
      <c r="A959" s="3"/>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5"/>
    </row>
    <row r="960" spans="1:28" x14ac:dyDescent="0.35">
      <c r="A960" s="3"/>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5"/>
    </row>
    <row r="961" spans="1:28" x14ac:dyDescent="0.35">
      <c r="A961" s="3"/>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5"/>
    </row>
    <row r="962" spans="1:28" x14ac:dyDescent="0.35">
      <c r="A962" s="3"/>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5"/>
    </row>
    <row r="963" spans="1:28" x14ac:dyDescent="0.35">
      <c r="A963" s="3"/>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5"/>
    </row>
    <row r="964" spans="1:28" x14ac:dyDescent="0.35">
      <c r="A964" s="3"/>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5"/>
    </row>
    <row r="965" spans="1:28" x14ac:dyDescent="0.35">
      <c r="A965" s="3"/>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5"/>
    </row>
    <row r="966" spans="1:28" x14ac:dyDescent="0.35">
      <c r="A966" s="3"/>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5"/>
    </row>
    <row r="967" spans="1:28" x14ac:dyDescent="0.35">
      <c r="A967" s="3"/>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5"/>
    </row>
    <row r="968" spans="1:28" x14ac:dyDescent="0.35">
      <c r="A968" s="3"/>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5"/>
    </row>
    <row r="969" spans="1:28" x14ac:dyDescent="0.35">
      <c r="A969" s="3"/>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5"/>
    </row>
    <row r="970" spans="1:28" x14ac:dyDescent="0.35">
      <c r="A970" s="3"/>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5"/>
    </row>
    <row r="971" spans="1:28" x14ac:dyDescent="0.35">
      <c r="A971" s="3"/>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5"/>
    </row>
    <row r="972" spans="1:28" x14ac:dyDescent="0.35">
      <c r="A972" s="3"/>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5"/>
    </row>
    <row r="973" spans="1:28" x14ac:dyDescent="0.35">
      <c r="A973" s="3"/>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5"/>
    </row>
    <row r="974" spans="1:28" x14ac:dyDescent="0.35">
      <c r="A974" s="3"/>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5"/>
    </row>
    <row r="975" spans="1:28" x14ac:dyDescent="0.35">
      <c r="A975" s="3"/>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5"/>
    </row>
    <row r="976" spans="1:28" x14ac:dyDescent="0.35">
      <c r="A976" s="3"/>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5"/>
    </row>
    <row r="977" spans="1:28" x14ac:dyDescent="0.35">
      <c r="A977" s="3"/>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5"/>
    </row>
    <row r="978" spans="1:28" x14ac:dyDescent="0.35">
      <c r="A978" s="3"/>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5"/>
    </row>
    <row r="979" spans="1:28" x14ac:dyDescent="0.35">
      <c r="A979" s="3"/>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5"/>
    </row>
    <row r="980" spans="1:28" x14ac:dyDescent="0.35">
      <c r="A980" s="3"/>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5"/>
    </row>
    <row r="981" spans="1:28" x14ac:dyDescent="0.35">
      <c r="A981" s="3"/>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5"/>
    </row>
    <row r="982" spans="1:28" x14ac:dyDescent="0.35">
      <c r="A982" s="3"/>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5"/>
    </row>
    <row r="983" spans="1:28" x14ac:dyDescent="0.35">
      <c r="A983" s="3"/>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5"/>
    </row>
    <row r="984" spans="1:28" x14ac:dyDescent="0.35">
      <c r="A984" s="3"/>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5"/>
    </row>
    <row r="985" spans="1:28" x14ac:dyDescent="0.35">
      <c r="A985" s="3"/>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5"/>
    </row>
    <row r="986" spans="1:28" x14ac:dyDescent="0.35">
      <c r="A986" s="3"/>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5"/>
    </row>
    <row r="987" spans="1:28" x14ac:dyDescent="0.35">
      <c r="A987" s="3"/>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5"/>
    </row>
    <row r="988" spans="1:28" x14ac:dyDescent="0.35">
      <c r="A988" s="3"/>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5"/>
    </row>
    <row r="989" spans="1:28" x14ac:dyDescent="0.35">
      <c r="A989" s="3"/>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5"/>
    </row>
    <row r="990" spans="1:28" x14ac:dyDescent="0.35">
      <c r="A990" s="3"/>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5"/>
    </row>
    <row r="991" spans="1:28" x14ac:dyDescent="0.35">
      <c r="A991" s="3"/>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5"/>
    </row>
    <row r="992" spans="1:28" x14ac:dyDescent="0.35">
      <c r="A992" s="3"/>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5"/>
    </row>
    <row r="993" spans="1:28" x14ac:dyDescent="0.35">
      <c r="A993" s="3"/>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5"/>
    </row>
    <row r="994" spans="1:28" x14ac:dyDescent="0.35">
      <c r="A994" s="3"/>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5"/>
    </row>
    <row r="995" spans="1:28" x14ac:dyDescent="0.35">
      <c r="A995" s="3"/>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5"/>
    </row>
    <row r="996" spans="1:28" x14ac:dyDescent="0.35">
      <c r="A996" s="3"/>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5"/>
    </row>
    <row r="997" spans="1:28" x14ac:dyDescent="0.35">
      <c r="A997" s="3"/>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5"/>
    </row>
    <row r="998" spans="1:28" x14ac:dyDescent="0.35">
      <c r="A998" s="3"/>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5"/>
    </row>
    <row r="999" spans="1:28" x14ac:dyDescent="0.35">
      <c r="A999" s="3"/>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5"/>
    </row>
    <row r="1000" spans="1:28" x14ac:dyDescent="0.35">
      <c r="A1000" s="3"/>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5"/>
    </row>
    <row r="1001" spans="1:28" x14ac:dyDescent="0.35">
      <c r="A1001" s="3"/>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5"/>
    </row>
    <row r="1002" spans="1:28" x14ac:dyDescent="0.35">
      <c r="A1002" s="3"/>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5"/>
    </row>
    <row r="1003" spans="1:28" x14ac:dyDescent="0.35">
      <c r="A1003" s="3"/>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5"/>
    </row>
    <row r="1004" spans="1:28" x14ac:dyDescent="0.35">
      <c r="A1004" s="3"/>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5"/>
    </row>
    <row r="1005" spans="1:28" x14ac:dyDescent="0.35">
      <c r="A1005" s="3"/>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5"/>
    </row>
    <row r="1006" spans="1:28" x14ac:dyDescent="0.35">
      <c r="A1006" s="3"/>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c r="AB1006" s="5"/>
    </row>
    <row r="1007" spans="1:28" x14ac:dyDescent="0.35">
      <c r="A1007" s="3"/>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c r="AB1007" s="5"/>
    </row>
    <row r="1008" spans="1:28" x14ac:dyDescent="0.35">
      <c r="A1008" s="3"/>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c r="AB1008" s="5"/>
    </row>
    <row r="1009" spans="1:28" x14ac:dyDescent="0.35">
      <c r="A1009" s="3"/>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c r="AB1009" s="5"/>
    </row>
    <row r="1010" spans="1:28" x14ac:dyDescent="0.35">
      <c r="A1010" s="3"/>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c r="AA1010" s="4"/>
      <c r="AB1010" s="5"/>
    </row>
    <row r="1011" spans="1:28" x14ac:dyDescent="0.35">
      <c r="A1011" s="3"/>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c r="AA1011" s="4"/>
      <c r="AB1011" s="5"/>
    </row>
    <row r="1012" spans="1:28" x14ac:dyDescent="0.35">
      <c r="A1012" s="3"/>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c r="AA1012" s="4"/>
      <c r="AB1012" s="5"/>
    </row>
    <row r="1013" spans="1:28" x14ac:dyDescent="0.35">
      <c r="A1013" s="3"/>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c r="AA1013" s="4"/>
      <c r="AB1013" s="5"/>
    </row>
    <row r="1014" spans="1:28" x14ac:dyDescent="0.35">
      <c r="A1014" s="3"/>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c r="AA1014" s="4"/>
      <c r="AB1014" s="5"/>
    </row>
    <row r="1015" spans="1:28" x14ac:dyDescent="0.35">
      <c r="A1015" s="3"/>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c r="AA1015" s="4"/>
      <c r="AB1015" s="5"/>
    </row>
    <row r="1016" spans="1:28" x14ac:dyDescent="0.35">
      <c r="A1016" s="3"/>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c r="AA1016" s="4"/>
      <c r="AB1016" s="5"/>
    </row>
    <row r="1017" spans="1:28" x14ac:dyDescent="0.35">
      <c r="A1017" s="3"/>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c r="AA1017" s="4"/>
      <c r="AB1017" s="5"/>
    </row>
    <row r="1018" spans="1:28" x14ac:dyDescent="0.35">
      <c r="A1018" s="3"/>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c r="AA1018" s="4"/>
      <c r="AB1018" s="5"/>
    </row>
    <row r="1019" spans="1:28" x14ac:dyDescent="0.35">
      <c r="A1019" s="3"/>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c r="AA1019" s="4"/>
      <c r="AB1019" s="5"/>
    </row>
    <row r="1020" spans="1:28" x14ac:dyDescent="0.35">
      <c r="A1020" s="3"/>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c r="AA1020" s="4"/>
      <c r="AB1020" s="5"/>
    </row>
    <row r="1021" spans="1:28" x14ac:dyDescent="0.35">
      <c r="A1021" s="3"/>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c r="AA1021" s="4"/>
      <c r="AB1021" s="5"/>
    </row>
    <row r="1022" spans="1:28" x14ac:dyDescent="0.35">
      <c r="A1022" s="3"/>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c r="AA1022" s="4"/>
      <c r="AB1022" s="5"/>
    </row>
    <row r="1023" spans="1:28" x14ac:dyDescent="0.35">
      <c r="A1023" s="3"/>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c r="AA1023" s="4"/>
      <c r="AB1023" s="5"/>
    </row>
    <row r="1024" spans="1:28" x14ac:dyDescent="0.35">
      <c r="A1024" s="3"/>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c r="AA1024" s="4"/>
      <c r="AB1024" s="5"/>
    </row>
    <row r="1025" spans="1:28" x14ac:dyDescent="0.35">
      <c r="A1025" s="3"/>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c r="AA1025" s="4"/>
      <c r="AB1025" s="5"/>
    </row>
    <row r="1026" spans="1:28" x14ac:dyDescent="0.35">
      <c r="A1026" s="3"/>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c r="AA1026" s="4"/>
      <c r="AB1026" s="5"/>
    </row>
    <row r="1027" spans="1:28" x14ac:dyDescent="0.35">
      <c r="A1027" s="3"/>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c r="AA1027" s="4"/>
      <c r="AB1027" s="5"/>
    </row>
    <row r="1028" spans="1:28" x14ac:dyDescent="0.35">
      <c r="A1028" s="3"/>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c r="AA1028" s="4"/>
      <c r="AB1028" s="5"/>
    </row>
    <row r="1029" spans="1:28" x14ac:dyDescent="0.35">
      <c r="A1029" s="3"/>
      <c r="B1029" s="4"/>
      <c r="C1029" s="4"/>
      <c r="D1029" s="4"/>
      <c r="E1029" s="4"/>
      <c r="F1029" s="4"/>
      <c r="G1029" s="4"/>
      <c r="H1029" s="4"/>
      <c r="I1029" s="4"/>
      <c r="J1029" s="4"/>
      <c r="K1029" s="4"/>
      <c r="L1029" s="4"/>
      <c r="M1029" s="4"/>
      <c r="N1029" s="4"/>
      <c r="O1029" s="4"/>
      <c r="P1029" s="4"/>
      <c r="Q1029" s="4"/>
      <c r="R1029" s="4"/>
      <c r="S1029" s="4"/>
      <c r="T1029" s="4"/>
      <c r="U1029" s="4"/>
      <c r="V1029" s="4"/>
      <c r="W1029" s="4"/>
      <c r="X1029" s="4"/>
      <c r="Y1029" s="4"/>
      <c r="Z1029" s="4"/>
      <c r="AA1029" s="4"/>
      <c r="AB1029" s="5"/>
    </row>
    <row r="1030" spans="1:28" x14ac:dyDescent="0.35">
      <c r="A1030" s="3"/>
      <c r="B1030" s="4"/>
      <c r="C1030" s="4"/>
      <c r="D1030" s="4"/>
      <c r="E1030" s="4"/>
      <c r="F1030" s="4"/>
      <c r="G1030" s="4"/>
      <c r="H1030" s="4"/>
      <c r="I1030" s="4"/>
      <c r="J1030" s="4"/>
      <c r="K1030" s="4"/>
      <c r="L1030" s="4"/>
      <c r="M1030" s="4"/>
      <c r="N1030" s="4"/>
      <c r="O1030" s="4"/>
      <c r="P1030" s="4"/>
      <c r="Q1030" s="4"/>
      <c r="R1030" s="4"/>
      <c r="S1030" s="4"/>
      <c r="T1030" s="4"/>
      <c r="U1030" s="4"/>
      <c r="V1030" s="4"/>
      <c r="W1030" s="4"/>
      <c r="X1030" s="4"/>
      <c r="Y1030" s="4"/>
      <c r="Z1030" s="4"/>
      <c r="AA1030" s="4"/>
      <c r="AB1030" s="5"/>
    </row>
    <row r="1031" spans="1:28" x14ac:dyDescent="0.35">
      <c r="A1031" s="3"/>
      <c r="B1031" s="4"/>
      <c r="C1031" s="4"/>
      <c r="D1031" s="4"/>
      <c r="E1031" s="4"/>
      <c r="F1031" s="4"/>
      <c r="G1031" s="4"/>
      <c r="H1031" s="4"/>
      <c r="I1031" s="4"/>
      <c r="J1031" s="4"/>
      <c r="K1031" s="4"/>
      <c r="L1031" s="4"/>
      <c r="M1031" s="4"/>
      <c r="N1031" s="4"/>
      <c r="O1031" s="4"/>
      <c r="P1031" s="4"/>
      <c r="Q1031" s="4"/>
      <c r="R1031" s="4"/>
      <c r="S1031" s="4"/>
      <c r="T1031" s="4"/>
      <c r="U1031" s="4"/>
      <c r="V1031" s="4"/>
      <c r="W1031" s="4"/>
      <c r="X1031" s="4"/>
      <c r="Y1031" s="4"/>
      <c r="Z1031" s="4"/>
      <c r="AA1031" s="4"/>
      <c r="AB1031" s="5"/>
    </row>
    <row r="1032" spans="1:28" x14ac:dyDescent="0.35">
      <c r="A1032" s="3"/>
      <c r="B1032" s="4"/>
      <c r="C1032" s="4"/>
      <c r="D1032" s="4"/>
      <c r="E1032" s="4"/>
      <c r="F1032" s="4"/>
      <c r="G1032" s="4"/>
      <c r="H1032" s="4"/>
      <c r="I1032" s="4"/>
      <c r="J1032" s="4"/>
      <c r="K1032" s="4"/>
      <c r="L1032" s="4"/>
      <c r="M1032" s="4"/>
      <c r="N1032" s="4"/>
      <c r="O1032" s="4"/>
      <c r="P1032" s="4"/>
      <c r="Q1032" s="4"/>
      <c r="R1032" s="4"/>
      <c r="S1032" s="4"/>
      <c r="T1032" s="4"/>
      <c r="U1032" s="4"/>
      <c r="V1032" s="4"/>
      <c r="W1032" s="4"/>
      <c r="X1032" s="4"/>
      <c r="Y1032" s="4"/>
      <c r="Z1032" s="4"/>
      <c r="AA1032" s="4"/>
      <c r="AB1032" s="5"/>
    </row>
    <row r="1033" spans="1:28" x14ac:dyDescent="0.35">
      <c r="A1033" s="3"/>
      <c r="B1033" s="4"/>
      <c r="C1033" s="4"/>
      <c r="D1033" s="4"/>
      <c r="E1033" s="4"/>
      <c r="F1033" s="4"/>
      <c r="G1033" s="4"/>
      <c r="H1033" s="4"/>
      <c r="I1033" s="4"/>
      <c r="J1033" s="4"/>
      <c r="K1033" s="4"/>
      <c r="L1033" s="4"/>
      <c r="M1033" s="4"/>
      <c r="N1033" s="4"/>
      <c r="O1033" s="4"/>
      <c r="P1033" s="4"/>
      <c r="Q1033" s="4"/>
      <c r="R1033" s="4"/>
      <c r="S1033" s="4"/>
      <c r="T1033" s="4"/>
      <c r="U1033" s="4"/>
      <c r="V1033" s="4"/>
      <c r="W1033" s="4"/>
      <c r="X1033" s="4"/>
      <c r="Y1033" s="4"/>
      <c r="Z1033" s="4"/>
      <c r="AA1033" s="4"/>
      <c r="AB1033" s="5"/>
    </row>
    <row r="1034" spans="1:28" x14ac:dyDescent="0.35">
      <c r="A1034" s="3"/>
      <c r="B1034" s="4"/>
      <c r="C1034" s="4"/>
      <c r="D1034" s="4"/>
      <c r="E1034" s="4"/>
      <c r="F1034" s="4"/>
      <c r="G1034" s="4"/>
      <c r="H1034" s="4"/>
      <c r="I1034" s="4"/>
      <c r="J1034" s="4"/>
      <c r="K1034" s="4"/>
      <c r="L1034" s="4"/>
      <c r="M1034" s="4"/>
      <c r="N1034" s="4"/>
      <c r="O1034" s="4"/>
      <c r="P1034" s="4"/>
      <c r="Q1034" s="4"/>
      <c r="R1034" s="4"/>
      <c r="S1034" s="4"/>
      <c r="T1034" s="4"/>
      <c r="U1034" s="4"/>
      <c r="V1034" s="4"/>
      <c r="W1034" s="4"/>
      <c r="X1034" s="4"/>
      <c r="Y1034" s="4"/>
      <c r="Z1034" s="4"/>
      <c r="AA1034" s="4"/>
      <c r="AB1034" s="5"/>
    </row>
    <row r="1035" spans="1:28" x14ac:dyDescent="0.35">
      <c r="A1035" s="3"/>
      <c r="B1035" s="4"/>
      <c r="C1035" s="4"/>
      <c r="D1035" s="4"/>
      <c r="E1035" s="4"/>
      <c r="F1035" s="4"/>
      <c r="G1035" s="4"/>
      <c r="H1035" s="4"/>
      <c r="I1035" s="4"/>
      <c r="J1035" s="4"/>
      <c r="K1035" s="4"/>
      <c r="L1035" s="4"/>
      <c r="M1035" s="4"/>
      <c r="N1035" s="4"/>
      <c r="O1035" s="4"/>
      <c r="P1035" s="4"/>
      <c r="Q1035" s="4"/>
      <c r="R1035" s="4"/>
      <c r="S1035" s="4"/>
      <c r="T1035" s="4"/>
      <c r="U1035" s="4"/>
      <c r="V1035" s="4"/>
      <c r="W1035" s="4"/>
      <c r="X1035" s="4"/>
      <c r="Y1035" s="4"/>
      <c r="Z1035" s="4"/>
      <c r="AA1035" s="4"/>
      <c r="AB1035" s="5"/>
    </row>
    <row r="1036" spans="1:28" x14ac:dyDescent="0.35">
      <c r="A1036" s="3"/>
      <c r="B1036" s="4"/>
      <c r="C1036" s="4"/>
      <c r="D1036" s="4"/>
      <c r="E1036" s="4"/>
      <c r="F1036" s="4"/>
      <c r="G1036" s="4"/>
      <c r="H1036" s="4"/>
      <c r="I1036" s="4"/>
      <c r="J1036" s="4"/>
      <c r="K1036" s="4"/>
      <c r="L1036" s="4"/>
      <c r="M1036" s="4"/>
      <c r="N1036" s="4"/>
      <c r="O1036" s="4"/>
      <c r="P1036" s="4"/>
      <c r="Q1036" s="4"/>
      <c r="R1036" s="4"/>
      <c r="S1036" s="4"/>
      <c r="T1036" s="4"/>
      <c r="U1036" s="4"/>
      <c r="V1036" s="4"/>
      <c r="W1036" s="4"/>
      <c r="X1036" s="4"/>
      <c r="Y1036" s="4"/>
      <c r="Z1036" s="4"/>
      <c r="AA1036" s="4"/>
      <c r="AB1036" s="5"/>
    </row>
    <row r="1037" spans="1:28" x14ac:dyDescent="0.35">
      <c r="A1037" s="3"/>
      <c r="B1037" s="4"/>
      <c r="C1037" s="4"/>
      <c r="D1037" s="4"/>
      <c r="E1037" s="4"/>
      <c r="F1037" s="4"/>
      <c r="G1037" s="4"/>
      <c r="H1037" s="4"/>
      <c r="I1037" s="4"/>
      <c r="J1037" s="4"/>
      <c r="K1037" s="4"/>
      <c r="L1037" s="4"/>
      <c r="M1037" s="4"/>
      <c r="N1037" s="4"/>
      <c r="O1037" s="4"/>
      <c r="P1037" s="4"/>
      <c r="Q1037" s="4"/>
      <c r="R1037" s="4"/>
      <c r="S1037" s="4"/>
      <c r="T1037" s="4"/>
      <c r="U1037" s="4"/>
      <c r="V1037" s="4"/>
      <c r="W1037" s="4"/>
      <c r="X1037" s="4"/>
      <c r="Y1037" s="4"/>
      <c r="Z1037" s="4"/>
      <c r="AA1037" s="4"/>
      <c r="AB1037" s="5"/>
    </row>
    <row r="1038" spans="1:28" x14ac:dyDescent="0.35">
      <c r="A1038" s="3"/>
      <c r="B1038" s="4"/>
      <c r="C1038" s="4"/>
      <c r="D1038" s="4"/>
      <c r="E1038" s="4"/>
      <c r="F1038" s="4"/>
      <c r="G1038" s="4"/>
      <c r="H1038" s="4"/>
      <c r="I1038" s="4"/>
      <c r="J1038" s="4"/>
      <c r="K1038" s="4"/>
      <c r="L1038" s="4"/>
      <c r="M1038" s="4"/>
      <c r="N1038" s="4"/>
      <c r="O1038" s="4"/>
      <c r="P1038" s="4"/>
      <c r="Q1038" s="4"/>
      <c r="R1038" s="4"/>
      <c r="S1038" s="4"/>
      <c r="T1038" s="4"/>
      <c r="U1038" s="4"/>
      <c r="V1038" s="4"/>
      <c r="W1038" s="4"/>
      <c r="X1038" s="4"/>
      <c r="Y1038" s="4"/>
      <c r="Z1038" s="4"/>
      <c r="AA1038" s="4"/>
      <c r="AB1038" s="5"/>
    </row>
    <row r="1039" spans="1:28" x14ac:dyDescent="0.35">
      <c r="A1039" s="3"/>
      <c r="B1039" s="4"/>
      <c r="C1039" s="4"/>
      <c r="D1039" s="4"/>
      <c r="E1039" s="4"/>
      <c r="F1039" s="4"/>
      <c r="G1039" s="4"/>
      <c r="H1039" s="4"/>
      <c r="I1039" s="4"/>
      <c r="J1039" s="4"/>
      <c r="K1039" s="4"/>
      <c r="L1039" s="4"/>
      <c r="M1039" s="4"/>
      <c r="N1039" s="4"/>
      <c r="O1039" s="4"/>
      <c r="P1039" s="4"/>
      <c r="Q1039" s="4"/>
      <c r="R1039" s="4"/>
      <c r="S1039" s="4"/>
      <c r="T1039" s="4"/>
      <c r="U1039" s="4"/>
      <c r="V1039" s="4"/>
      <c r="W1039" s="4"/>
      <c r="X1039" s="4"/>
      <c r="Y1039" s="4"/>
      <c r="Z1039" s="4"/>
      <c r="AA1039" s="4"/>
      <c r="AB1039" s="5"/>
    </row>
    <row r="1040" spans="1:28" x14ac:dyDescent="0.35">
      <c r="A1040" s="3"/>
      <c r="B1040" s="4"/>
      <c r="C1040" s="4"/>
      <c r="D1040" s="4"/>
      <c r="E1040" s="4"/>
      <c r="F1040" s="4"/>
      <c r="G1040" s="4"/>
      <c r="H1040" s="4"/>
      <c r="I1040" s="4"/>
      <c r="J1040" s="4"/>
      <c r="K1040" s="4"/>
      <c r="L1040" s="4"/>
      <c r="M1040" s="4"/>
      <c r="N1040" s="4"/>
      <c r="O1040" s="4"/>
      <c r="P1040" s="4"/>
      <c r="Q1040" s="4"/>
      <c r="R1040" s="4"/>
      <c r="S1040" s="4"/>
      <c r="T1040" s="4"/>
      <c r="U1040" s="4"/>
      <c r="V1040" s="4"/>
      <c r="W1040" s="4"/>
      <c r="X1040" s="4"/>
      <c r="Y1040" s="4"/>
      <c r="Z1040" s="4"/>
      <c r="AA1040" s="4"/>
      <c r="AB1040" s="5"/>
    </row>
    <row r="1041" spans="1:28" x14ac:dyDescent="0.35">
      <c r="A1041" s="3"/>
      <c r="B1041" s="4"/>
      <c r="C1041" s="4"/>
      <c r="D1041" s="4"/>
      <c r="E1041" s="4"/>
      <c r="F1041" s="4"/>
      <c r="G1041" s="4"/>
      <c r="H1041" s="4"/>
      <c r="I1041" s="4"/>
      <c r="J1041" s="4"/>
      <c r="K1041" s="4"/>
      <c r="L1041" s="4"/>
      <c r="M1041" s="4"/>
      <c r="N1041" s="4"/>
      <c r="O1041" s="4"/>
      <c r="P1041" s="4"/>
      <c r="Q1041" s="4"/>
      <c r="R1041" s="4"/>
      <c r="S1041" s="4"/>
      <c r="T1041" s="4"/>
      <c r="U1041" s="4"/>
      <c r="V1041" s="4"/>
      <c r="W1041" s="4"/>
      <c r="X1041" s="4"/>
      <c r="Y1041" s="4"/>
      <c r="Z1041" s="4"/>
      <c r="AA1041" s="4"/>
      <c r="AB1041" s="5"/>
    </row>
    <row r="1042" spans="1:28" x14ac:dyDescent="0.35">
      <c r="A1042" s="3"/>
      <c r="B1042" s="4"/>
      <c r="C1042" s="4"/>
      <c r="D1042" s="4"/>
      <c r="E1042" s="4"/>
      <c r="F1042" s="4"/>
      <c r="G1042" s="4"/>
      <c r="H1042" s="4"/>
      <c r="I1042" s="4"/>
      <c r="J1042" s="4"/>
      <c r="K1042" s="4"/>
      <c r="L1042" s="4"/>
      <c r="M1042" s="4"/>
      <c r="N1042" s="4"/>
      <c r="O1042" s="4"/>
      <c r="P1042" s="4"/>
      <c r="Q1042" s="4"/>
      <c r="R1042" s="4"/>
      <c r="S1042" s="4"/>
      <c r="T1042" s="4"/>
      <c r="U1042" s="4"/>
      <c r="V1042" s="4"/>
      <c r="W1042" s="4"/>
      <c r="X1042" s="4"/>
      <c r="Y1042" s="4"/>
      <c r="Z1042" s="4"/>
      <c r="AA1042" s="4"/>
      <c r="AB1042" s="5"/>
    </row>
    <row r="1043" spans="1:28" x14ac:dyDescent="0.35">
      <c r="A1043" s="3"/>
      <c r="B1043" s="4"/>
      <c r="C1043" s="4"/>
      <c r="D1043" s="4"/>
      <c r="E1043" s="4"/>
      <c r="F1043" s="4"/>
      <c r="G1043" s="4"/>
      <c r="H1043" s="4"/>
      <c r="I1043" s="4"/>
      <c r="J1043" s="4"/>
      <c r="K1043" s="4"/>
      <c r="L1043" s="4"/>
      <c r="M1043" s="4"/>
      <c r="N1043" s="4"/>
      <c r="O1043" s="4"/>
      <c r="P1043" s="4"/>
      <c r="Q1043" s="4"/>
      <c r="R1043" s="4"/>
      <c r="S1043" s="4"/>
      <c r="T1043" s="4"/>
      <c r="U1043" s="4"/>
      <c r="V1043" s="4"/>
      <c r="W1043" s="4"/>
      <c r="X1043" s="4"/>
      <c r="Y1043" s="4"/>
      <c r="Z1043" s="4"/>
      <c r="AA1043" s="4"/>
      <c r="AB1043" s="5"/>
    </row>
    <row r="1044" spans="1:28" x14ac:dyDescent="0.35">
      <c r="A1044" s="3"/>
      <c r="B1044" s="4"/>
      <c r="C1044" s="4"/>
      <c r="D1044" s="4"/>
      <c r="E1044" s="4"/>
      <c r="F1044" s="4"/>
      <c r="G1044" s="4"/>
      <c r="H1044" s="4"/>
      <c r="I1044" s="4"/>
      <c r="J1044" s="4"/>
      <c r="K1044" s="4"/>
      <c r="L1044" s="4"/>
      <c r="M1044" s="4"/>
      <c r="N1044" s="4"/>
      <c r="O1044" s="4"/>
      <c r="P1044" s="4"/>
      <c r="Q1044" s="4"/>
      <c r="R1044" s="4"/>
      <c r="S1044" s="4"/>
      <c r="T1044" s="4"/>
      <c r="U1044" s="4"/>
      <c r="V1044" s="4"/>
      <c r="W1044" s="4"/>
      <c r="X1044" s="4"/>
      <c r="Y1044" s="4"/>
      <c r="Z1044" s="4"/>
      <c r="AA1044" s="4"/>
      <c r="AB1044" s="5"/>
    </row>
    <row r="1045" spans="1:28" x14ac:dyDescent="0.35">
      <c r="A1045" s="3"/>
      <c r="B1045" s="4"/>
      <c r="C1045" s="4"/>
      <c r="D1045" s="4"/>
      <c r="E1045" s="4"/>
      <c r="F1045" s="4"/>
      <c r="G1045" s="4"/>
      <c r="H1045" s="4"/>
      <c r="I1045" s="4"/>
      <c r="J1045" s="4"/>
      <c r="K1045" s="4"/>
      <c r="L1045" s="4"/>
      <c r="M1045" s="4"/>
      <c r="N1045" s="4"/>
      <c r="O1045" s="4"/>
      <c r="P1045" s="4"/>
      <c r="Q1045" s="4"/>
      <c r="R1045" s="4"/>
      <c r="S1045" s="4"/>
      <c r="T1045" s="4"/>
      <c r="U1045" s="4"/>
      <c r="V1045" s="4"/>
      <c r="W1045" s="4"/>
      <c r="X1045" s="4"/>
      <c r="Y1045" s="4"/>
      <c r="Z1045" s="4"/>
      <c r="AA1045" s="4"/>
      <c r="AB1045" s="5"/>
    </row>
    <row r="1046" spans="1:28" x14ac:dyDescent="0.35">
      <c r="A1046" s="3"/>
      <c r="B1046" s="4"/>
      <c r="C1046" s="4"/>
      <c r="D1046" s="4"/>
      <c r="E1046" s="4"/>
      <c r="F1046" s="4"/>
      <c r="G1046" s="4"/>
      <c r="H1046" s="4"/>
      <c r="I1046" s="4"/>
      <c r="J1046" s="4"/>
      <c r="K1046" s="4"/>
      <c r="L1046" s="4"/>
      <c r="M1046" s="4"/>
      <c r="N1046" s="4"/>
      <c r="O1046" s="4"/>
      <c r="P1046" s="4"/>
      <c r="Q1046" s="4"/>
      <c r="R1046" s="4"/>
      <c r="S1046" s="4"/>
      <c r="T1046" s="4"/>
      <c r="U1046" s="4"/>
      <c r="V1046" s="4"/>
      <c r="W1046" s="4"/>
      <c r="X1046" s="4"/>
      <c r="Y1046" s="4"/>
      <c r="Z1046" s="4"/>
      <c r="AA1046" s="4"/>
      <c r="AB1046" s="5"/>
    </row>
    <row r="1047" spans="1:28" x14ac:dyDescent="0.35">
      <c r="A1047" s="3"/>
      <c r="B1047" s="4"/>
      <c r="C1047" s="4"/>
      <c r="D1047" s="4"/>
      <c r="E1047" s="4"/>
      <c r="F1047" s="4"/>
      <c r="G1047" s="4"/>
      <c r="H1047" s="4"/>
      <c r="I1047" s="4"/>
      <c r="J1047" s="4"/>
      <c r="K1047" s="4"/>
      <c r="L1047" s="4"/>
      <c r="M1047" s="4"/>
      <c r="N1047" s="4"/>
      <c r="O1047" s="4"/>
      <c r="P1047" s="4"/>
      <c r="Q1047" s="4"/>
      <c r="R1047" s="4"/>
      <c r="S1047" s="4"/>
      <c r="T1047" s="4"/>
      <c r="U1047" s="4"/>
      <c r="V1047" s="4"/>
      <c r="W1047" s="4"/>
      <c r="X1047" s="4"/>
      <c r="Y1047" s="4"/>
      <c r="Z1047" s="4"/>
      <c r="AA1047" s="4"/>
      <c r="AB1047" s="5"/>
    </row>
    <row r="1048" spans="1:28" x14ac:dyDescent="0.35">
      <c r="A1048" s="3"/>
      <c r="B1048" s="4"/>
      <c r="C1048" s="4"/>
      <c r="D1048" s="4"/>
      <c r="E1048" s="4"/>
      <c r="F1048" s="4"/>
      <c r="G1048" s="4"/>
      <c r="H1048" s="4"/>
      <c r="I1048" s="4"/>
      <c r="J1048" s="4"/>
      <c r="K1048" s="4"/>
      <c r="L1048" s="4"/>
      <c r="M1048" s="4"/>
      <c r="N1048" s="4"/>
      <c r="O1048" s="4"/>
      <c r="P1048" s="4"/>
      <c r="Q1048" s="4"/>
      <c r="R1048" s="4"/>
      <c r="S1048" s="4"/>
      <c r="T1048" s="4"/>
      <c r="U1048" s="4"/>
      <c r="V1048" s="4"/>
      <c r="W1048" s="4"/>
      <c r="X1048" s="4"/>
      <c r="Y1048" s="4"/>
      <c r="Z1048" s="4"/>
      <c r="AA1048" s="4"/>
      <c r="AB1048" s="5"/>
    </row>
    <row r="1049" spans="1:28" x14ac:dyDescent="0.35">
      <c r="A1049" s="3"/>
      <c r="B1049" s="4"/>
      <c r="C1049" s="4"/>
      <c r="D1049" s="4"/>
      <c r="E1049" s="4"/>
      <c r="F1049" s="4"/>
      <c r="G1049" s="4"/>
      <c r="H1049" s="4"/>
      <c r="I1049" s="4"/>
      <c r="J1049" s="4"/>
      <c r="K1049" s="4"/>
      <c r="L1049" s="4"/>
      <c r="M1049" s="4"/>
      <c r="N1049" s="4"/>
      <c r="O1049" s="4"/>
      <c r="P1049" s="4"/>
      <c r="Q1049" s="4"/>
      <c r="R1049" s="4"/>
      <c r="S1049" s="4"/>
      <c r="T1049" s="4"/>
      <c r="U1049" s="4"/>
      <c r="V1049" s="4"/>
      <c r="W1049" s="4"/>
      <c r="X1049" s="4"/>
      <c r="Y1049" s="4"/>
      <c r="Z1049" s="4"/>
      <c r="AA1049" s="4"/>
      <c r="AB1049" s="5"/>
    </row>
    <row r="1050" spans="1:28" x14ac:dyDescent="0.35">
      <c r="A1050" s="3"/>
      <c r="B1050" s="4"/>
      <c r="C1050" s="4"/>
      <c r="D1050" s="4"/>
      <c r="E1050" s="4"/>
      <c r="F1050" s="4"/>
      <c r="G1050" s="4"/>
      <c r="H1050" s="4"/>
      <c r="I1050" s="4"/>
      <c r="J1050" s="4"/>
      <c r="K1050" s="4"/>
      <c r="L1050" s="4"/>
      <c r="M1050" s="4"/>
      <c r="N1050" s="4"/>
      <c r="O1050" s="4"/>
      <c r="P1050" s="4"/>
      <c r="Q1050" s="4"/>
      <c r="R1050" s="4"/>
      <c r="S1050" s="4"/>
      <c r="T1050" s="4"/>
      <c r="U1050" s="4"/>
      <c r="V1050" s="4"/>
      <c r="W1050" s="4"/>
      <c r="X1050" s="4"/>
      <c r="Y1050" s="4"/>
      <c r="Z1050" s="4"/>
      <c r="AA1050" s="4"/>
      <c r="AB1050" s="5"/>
    </row>
    <row r="1051" spans="1:28" x14ac:dyDescent="0.35">
      <c r="A1051" s="3"/>
      <c r="B1051" s="4"/>
      <c r="C1051" s="4"/>
      <c r="D1051" s="4"/>
      <c r="E1051" s="4"/>
      <c r="F1051" s="4"/>
      <c r="G1051" s="4"/>
      <c r="H1051" s="4"/>
      <c r="I1051" s="4"/>
      <c r="J1051" s="4"/>
      <c r="K1051" s="4"/>
      <c r="L1051" s="4"/>
      <c r="M1051" s="4"/>
      <c r="N1051" s="4"/>
      <c r="O1051" s="4"/>
      <c r="P1051" s="4"/>
      <c r="Q1051" s="4"/>
      <c r="R1051" s="4"/>
      <c r="S1051" s="4"/>
      <c r="T1051" s="4"/>
      <c r="U1051" s="4"/>
      <c r="V1051" s="4"/>
      <c r="W1051" s="4"/>
      <c r="X1051" s="4"/>
      <c r="Y1051" s="4"/>
      <c r="Z1051" s="4"/>
      <c r="AA1051" s="4"/>
      <c r="AB1051" s="5"/>
    </row>
    <row r="1052" spans="1:28" x14ac:dyDescent="0.35">
      <c r="A1052" s="3"/>
      <c r="B1052" s="4"/>
      <c r="C1052" s="4"/>
      <c r="D1052" s="4"/>
      <c r="E1052" s="4"/>
      <c r="F1052" s="4"/>
      <c r="G1052" s="4"/>
      <c r="H1052" s="4"/>
      <c r="I1052" s="4"/>
      <c r="J1052" s="4"/>
      <c r="K1052" s="4"/>
      <c r="L1052" s="4"/>
      <c r="M1052" s="4"/>
      <c r="N1052" s="4"/>
      <c r="O1052" s="4"/>
      <c r="P1052" s="4"/>
      <c r="Q1052" s="4"/>
      <c r="R1052" s="4"/>
      <c r="S1052" s="4"/>
      <c r="T1052" s="4"/>
      <c r="U1052" s="4"/>
      <c r="V1052" s="4"/>
      <c r="W1052" s="4"/>
      <c r="X1052" s="4"/>
      <c r="Y1052" s="4"/>
      <c r="Z1052" s="4"/>
      <c r="AA1052" s="4"/>
      <c r="AB1052" s="5"/>
    </row>
    <row r="1053" spans="1:28" x14ac:dyDescent="0.35">
      <c r="A1053" s="3"/>
      <c r="B1053" s="4"/>
      <c r="C1053" s="4"/>
      <c r="D1053" s="4"/>
      <c r="E1053" s="4"/>
      <c r="F1053" s="4"/>
      <c r="G1053" s="4"/>
      <c r="H1053" s="4"/>
      <c r="I1053" s="4"/>
      <c r="J1053" s="4"/>
      <c r="K1053" s="4"/>
      <c r="L1053" s="4"/>
      <c r="M1053" s="4"/>
      <c r="N1053" s="4"/>
      <c r="O1053" s="4"/>
      <c r="P1053" s="4"/>
      <c r="Q1053" s="4"/>
      <c r="R1053" s="4"/>
      <c r="S1053" s="4"/>
      <c r="T1053" s="4"/>
      <c r="U1053" s="4"/>
      <c r="V1053" s="4"/>
      <c r="W1053" s="4"/>
      <c r="X1053" s="4"/>
      <c r="Y1053" s="4"/>
      <c r="Z1053" s="4"/>
      <c r="AA1053" s="4"/>
      <c r="AB1053" s="5"/>
    </row>
    <row r="1054" spans="1:28" x14ac:dyDescent="0.35">
      <c r="A1054" s="3"/>
      <c r="B1054" s="4"/>
      <c r="C1054" s="4"/>
      <c r="D1054" s="4"/>
      <c r="E1054" s="4"/>
      <c r="F1054" s="4"/>
      <c r="G1054" s="4"/>
      <c r="H1054" s="4"/>
      <c r="I1054" s="4"/>
      <c r="J1054" s="4"/>
      <c r="K1054" s="4"/>
      <c r="L1054" s="4"/>
      <c r="M1054" s="4"/>
      <c r="N1054" s="4"/>
      <c r="O1054" s="4"/>
      <c r="P1054" s="4"/>
      <c r="Q1054" s="4"/>
      <c r="R1054" s="4"/>
      <c r="S1054" s="4"/>
      <c r="T1054" s="4"/>
      <c r="U1054" s="4"/>
      <c r="V1054" s="4"/>
      <c r="W1054" s="4"/>
      <c r="X1054" s="4"/>
      <c r="Y1054" s="4"/>
      <c r="Z1054" s="4"/>
      <c r="AA1054" s="4"/>
      <c r="AB1054" s="5"/>
    </row>
    <row r="1055" spans="1:28" x14ac:dyDescent="0.35">
      <c r="A1055" s="3"/>
      <c r="B1055" s="4"/>
      <c r="C1055" s="4"/>
      <c r="D1055" s="4"/>
      <c r="E1055" s="4"/>
      <c r="F1055" s="4"/>
      <c r="G1055" s="4"/>
      <c r="H1055" s="4"/>
      <c r="I1055" s="4"/>
      <c r="J1055" s="4"/>
      <c r="K1055" s="4"/>
      <c r="L1055" s="4"/>
      <c r="M1055" s="4"/>
      <c r="N1055" s="4"/>
      <c r="O1055" s="4"/>
      <c r="P1055" s="4"/>
      <c r="Q1055" s="4"/>
      <c r="R1055" s="4"/>
      <c r="S1055" s="4"/>
      <c r="T1055" s="4"/>
      <c r="U1055" s="4"/>
      <c r="V1055" s="4"/>
      <c r="W1055" s="4"/>
      <c r="X1055" s="4"/>
      <c r="Y1055" s="4"/>
      <c r="Z1055" s="4"/>
      <c r="AA1055" s="4"/>
      <c r="AB1055" s="5"/>
    </row>
    <row r="1056" spans="1:28" x14ac:dyDescent="0.35">
      <c r="A1056" s="3"/>
      <c r="B1056" s="4"/>
      <c r="C1056" s="4"/>
      <c r="D1056" s="4"/>
      <c r="E1056" s="4"/>
      <c r="F1056" s="4"/>
      <c r="G1056" s="4"/>
      <c r="H1056" s="4"/>
      <c r="I1056" s="4"/>
      <c r="J1056" s="4"/>
      <c r="K1056" s="4"/>
      <c r="L1056" s="4"/>
      <c r="M1056" s="4"/>
      <c r="N1056" s="4"/>
      <c r="O1056" s="4"/>
      <c r="P1056" s="4"/>
      <c r="Q1056" s="4"/>
      <c r="R1056" s="4"/>
      <c r="S1056" s="4"/>
      <c r="T1056" s="4"/>
      <c r="U1056" s="4"/>
      <c r="V1056" s="4"/>
      <c r="W1056" s="4"/>
      <c r="X1056" s="4"/>
      <c r="Y1056" s="4"/>
      <c r="Z1056" s="4"/>
      <c r="AA1056" s="4"/>
      <c r="AB1056" s="5"/>
    </row>
    <row r="1057" spans="1:28" x14ac:dyDescent="0.35">
      <c r="A1057" s="3"/>
      <c r="B1057" s="4"/>
      <c r="C1057" s="4"/>
      <c r="D1057" s="4"/>
      <c r="E1057" s="4"/>
      <c r="F1057" s="4"/>
      <c r="G1057" s="4"/>
      <c r="H1057" s="4"/>
      <c r="I1057" s="4"/>
      <c r="J1057" s="4"/>
      <c r="K1057" s="4"/>
      <c r="L1057" s="4"/>
      <c r="M1057" s="4"/>
      <c r="N1057" s="4"/>
      <c r="O1057" s="4"/>
      <c r="P1057" s="4"/>
      <c r="Q1057" s="4"/>
      <c r="R1057" s="4"/>
      <c r="S1057" s="4"/>
      <c r="T1057" s="4"/>
      <c r="U1057" s="4"/>
      <c r="V1057" s="4"/>
      <c r="W1057" s="4"/>
      <c r="X1057" s="4"/>
      <c r="Y1057" s="4"/>
      <c r="Z1057" s="4"/>
      <c r="AA1057" s="4"/>
      <c r="AB1057" s="5"/>
    </row>
    <row r="1058" spans="1:28" x14ac:dyDescent="0.35">
      <c r="A1058" s="3"/>
      <c r="B1058" s="4"/>
      <c r="C1058" s="4"/>
      <c r="D1058" s="4"/>
      <c r="E1058" s="4"/>
      <c r="F1058" s="4"/>
      <c r="G1058" s="4"/>
      <c r="H1058" s="4"/>
      <c r="I1058" s="4"/>
      <c r="J1058" s="4"/>
      <c r="K1058" s="4"/>
      <c r="L1058" s="4"/>
      <c r="M1058" s="4"/>
      <c r="N1058" s="4"/>
      <c r="O1058" s="4"/>
      <c r="P1058" s="4"/>
      <c r="Q1058" s="4"/>
      <c r="R1058" s="4"/>
      <c r="S1058" s="4"/>
      <c r="T1058" s="4"/>
      <c r="U1058" s="4"/>
      <c r="V1058" s="4"/>
      <c r="W1058" s="4"/>
      <c r="X1058" s="4"/>
      <c r="Y1058" s="4"/>
      <c r="Z1058" s="4"/>
      <c r="AA1058" s="4"/>
      <c r="AB1058" s="5"/>
    </row>
    <row r="1059" spans="1:28" x14ac:dyDescent="0.35">
      <c r="A1059" s="3"/>
      <c r="B1059" s="4"/>
      <c r="C1059" s="4"/>
      <c r="D1059" s="4"/>
      <c r="E1059" s="4"/>
      <c r="F1059" s="4"/>
      <c r="G1059" s="4"/>
      <c r="H1059" s="4"/>
      <c r="I1059" s="4"/>
      <c r="J1059" s="4"/>
      <c r="K1059" s="4"/>
      <c r="L1059" s="4"/>
      <c r="M1059" s="4"/>
      <c r="N1059" s="4"/>
      <c r="O1059" s="4"/>
      <c r="P1059" s="4"/>
      <c r="Q1059" s="4"/>
      <c r="R1059" s="4"/>
      <c r="S1059" s="4"/>
      <c r="T1059" s="4"/>
      <c r="U1059" s="4"/>
      <c r="V1059" s="4"/>
      <c r="W1059" s="4"/>
      <c r="X1059" s="4"/>
      <c r="Y1059" s="4"/>
      <c r="Z1059" s="4"/>
      <c r="AA1059" s="4"/>
      <c r="AB1059" s="5"/>
    </row>
    <row r="1060" spans="1:28" x14ac:dyDescent="0.35">
      <c r="A1060" s="3"/>
      <c r="B1060" s="4"/>
      <c r="C1060" s="4"/>
      <c r="D1060" s="4"/>
      <c r="E1060" s="4"/>
      <c r="F1060" s="4"/>
      <c r="G1060" s="4"/>
      <c r="H1060" s="4"/>
      <c r="I1060" s="4"/>
      <c r="J1060" s="4"/>
      <c r="K1060" s="4"/>
      <c r="L1060" s="4"/>
      <c r="M1060" s="4"/>
      <c r="N1060" s="4"/>
      <c r="O1060" s="4"/>
      <c r="P1060" s="4"/>
      <c r="Q1060" s="4"/>
      <c r="R1060" s="4"/>
      <c r="S1060" s="4"/>
      <c r="T1060" s="4"/>
      <c r="U1060" s="4"/>
      <c r="V1060" s="4"/>
      <c r="W1060" s="4"/>
      <c r="X1060" s="4"/>
      <c r="Y1060" s="4"/>
      <c r="Z1060" s="4"/>
      <c r="AA1060" s="4"/>
      <c r="AB1060" s="5"/>
    </row>
    <row r="1061" spans="1:28" x14ac:dyDescent="0.35">
      <c r="A1061" s="3"/>
      <c r="B1061" s="4"/>
      <c r="C1061" s="4"/>
      <c r="D1061" s="4"/>
      <c r="E1061" s="4"/>
      <c r="F1061" s="4"/>
      <c r="G1061" s="4"/>
      <c r="H1061" s="4"/>
      <c r="I1061" s="4"/>
      <c r="J1061" s="4"/>
      <c r="K1061" s="4"/>
      <c r="L1061" s="4"/>
      <c r="M1061" s="4"/>
      <c r="N1061" s="4"/>
      <c r="O1061" s="4"/>
      <c r="P1061" s="4"/>
      <c r="Q1061" s="4"/>
      <c r="R1061" s="4"/>
      <c r="S1061" s="4"/>
      <c r="T1061" s="4"/>
      <c r="U1061" s="4"/>
      <c r="V1061" s="4"/>
      <c r="W1061" s="4"/>
      <c r="X1061" s="4"/>
      <c r="Y1061" s="4"/>
      <c r="Z1061" s="4"/>
      <c r="AA1061" s="4"/>
      <c r="AB1061" s="5"/>
    </row>
    <row r="1062" spans="1:28" x14ac:dyDescent="0.35">
      <c r="A1062" s="3"/>
      <c r="B1062" s="4"/>
      <c r="C1062" s="4"/>
      <c r="D1062" s="4"/>
      <c r="E1062" s="4"/>
      <c r="F1062" s="4"/>
      <c r="G1062" s="4"/>
      <c r="H1062" s="4"/>
      <c r="I1062" s="4"/>
      <c r="J1062" s="4"/>
      <c r="K1062" s="4"/>
      <c r="L1062" s="4"/>
      <c r="M1062" s="4"/>
      <c r="N1062" s="4"/>
      <c r="O1062" s="4"/>
      <c r="P1062" s="4"/>
      <c r="Q1062" s="4"/>
      <c r="R1062" s="4"/>
      <c r="S1062" s="4"/>
      <c r="T1062" s="4"/>
      <c r="U1062" s="4"/>
      <c r="V1062" s="4"/>
      <c r="W1062" s="4"/>
      <c r="X1062" s="4"/>
      <c r="Y1062" s="4"/>
      <c r="Z1062" s="4"/>
      <c r="AA1062" s="4"/>
      <c r="AB1062" s="5"/>
    </row>
    <row r="1063" spans="1:28" x14ac:dyDescent="0.35">
      <c r="A1063" s="3"/>
      <c r="B1063" s="4"/>
      <c r="C1063" s="4"/>
      <c r="D1063" s="4"/>
      <c r="E1063" s="4"/>
      <c r="F1063" s="4"/>
      <c r="G1063" s="4"/>
      <c r="H1063" s="4"/>
      <c r="I1063" s="4"/>
      <c r="J1063" s="4"/>
      <c r="K1063" s="4"/>
      <c r="L1063" s="4"/>
      <c r="M1063" s="4"/>
      <c r="N1063" s="4"/>
      <c r="O1063" s="4"/>
      <c r="P1063" s="4"/>
      <c r="Q1063" s="4"/>
      <c r="R1063" s="4"/>
      <c r="S1063" s="4"/>
      <c r="T1063" s="4"/>
      <c r="U1063" s="4"/>
      <c r="V1063" s="4"/>
      <c r="W1063" s="4"/>
      <c r="X1063" s="4"/>
      <c r="Y1063" s="4"/>
      <c r="Z1063" s="4"/>
      <c r="AA1063" s="4"/>
      <c r="AB1063" s="5"/>
    </row>
    <row r="1064" spans="1:28" x14ac:dyDescent="0.35">
      <c r="A1064" s="3"/>
      <c r="B1064" s="4"/>
      <c r="C1064" s="4"/>
      <c r="D1064" s="4"/>
      <c r="E1064" s="4"/>
      <c r="F1064" s="4"/>
      <c r="G1064" s="4"/>
      <c r="H1064" s="4"/>
      <c r="I1064" s="4"/>
      <c r="J1064" s="4"/>
      <c r="K1064" s="4"/>
      <c r="L1064" s="4"/>
      <c r="M1064" s="4"/>
      <c r="N1064" s="4"/>
      <c r="O1064" s="4"/>
      <c r="P1064" s="4"/>
      <c r="Q1064" s="4"/>
      <c r="R1064" s="4"/>
      <c r="S1064" s="4"/>
      <c r="T1064" s="4"/>
      <c r="U1064" s="4"/>
      <c r="V1064" s="4"/>
      <c r="W1064" s="4"/>
      <c r="X1064" s="4"/>
      <c r="Y1064" s="4"/>
      <c r="Z1064" s="4"/>
      <c r="AA1064" s="4"/>
      <c r="AB1064" s="5"/>
    </row>
    <row r="1065" spans="1:28" x14ac:dyDescent="0.35">
      <c r="A1065" s="3"/>
      <c r="B1065" s="4"/>
      <c r="C1065" s="4"/>
      <c r="D1065" s="4"/>
      <c r="E1065" s="4"/>
      <c r="F1065" s="4"/>
      <c r="G1065" s="4"/>
      <c r="H1065" s="4"/>
      <c r="I1065" s="4"/>
      <c r="J1065" s="4"/>
      <c r="K1065" s="4"/>
      <c r="L1065" s="4"/>
      <c r="M1065" s="4"/>
      <c r="N1065" s="4"/>
      <c r="O1065" s="4"/>
      <c r="P1065" s="4"/>
      <c r="Q1065" s="4"/>
      <c r="R1065" s="4"/>
      <c r="S1065" s="4"/>
      <c r="T1065" s="4"/>
      <c r="U1065" s="4"/>
      <c r="V1065" s="4"/>
      <c r="W1065" s="4"/>
      <c r="X1065" s="4"/>
      <c r="Y1065" s="4"/>
      <c r="Z1065" s="4"/>
      <c r="AA1065" s="4"/>
      <c r="AB1065" s="5"/>
    </row>
    <row r="1066" spans="1:28" x14ac:dyDescent="0.35">
      <c r="A1066" s="3"/>
      <c r="B1066" s="4"/>
      <c r="C1066" s="4"/>
      <c r="D1066" s="4"/>
      <c r="E1066" s="4"/>
      <c r="F1066" s="4"/>
      <c r="G1066" s="4"/>
      <c r="H1066" s="4"/>
      <c r="I1066" s="4"/>
      <c r="J1066" s="4"/>
      <c r="K1066" s="4"/>
      <c r="L1066" s="4"/>
      <c r="M1066" s="4"/>
      <c r="N1066" s="4"/>
      <c r="O1066" s="4"/>
      <c r="P1066" s="4"/>
      <c r="Q1066" s="4"/>
      <c r="R1066" s="4"/>
      <c r="S1066" s="4"/>
      <c r="T1066" s="4"/>
      <c r="U1066" s="4"/>
      <c r="V1066" s="4"/>
      <c r="W1066" s="4"/>
      <c r="X1066" s="4"/>
      <c r="Y1066" s="4"/>
      <c r="Z1066" s="4"/>
      <c r="AA1066" s="4"/>
      <c r="AB1066" s="5"/>
    </row>
    <row r="1067" spans="1:28" x14ac:dyDescent="0.35">
      <c r="A1067" s="3"/>
      <c r="B1067" s="4"/>
      <c r="C1067" s="4"/>
      <c r="D1067" s="4"/>
      <c r="E1067" s="4"/>
      <c r="F1067" s="4"/>
      <c r="G1067" s="4"/>
      <c r="H1067" s="4"/>
      <c r="I1067" s="4"/>
      <c r="J1067" s="4"/>
      <c r="K1067" s="4"/>
      <c r="L1067" s="4"/>
      <c r="M1067" s="4"/>
      <c r="N1067" s="4"/>
      <c r="O1067" s="4"/>
      <c r="P1067" s="4"/>
      <c r="Q1067" s="4"/>
      <c r="R1067" s="4"/>
      <c r="S1067" s="4"/>
      <c r="T1067" s="4"/>
      <c r="U1067" s="4"/>
      <c r="V1067" s="4"/>
      <c r="W1067" s="4"/>
      <c r="X1067" s="4"/>
      <c r="Y1067" s="4"/>
      <c r="Z1067" s="4"/>
      <c r="AA1067" s="4"/>
      <c r="AB1067" s="5"/>
    </row>
    <row r="1068" spans="1:28" x14ac:dyDescent="0.35">
      <c r="A1068" s="3"/>
      <c r="B1068" s="4"/>
      <c r="C1068" s="4"/>
      <c r="D1068" s="4"/>
      <c r="E1068" s="4"/>
      <c r="F1068" s="4"/>
      <c r="G1068" s="4"/>
      <c r="H1068" s="4"/>
      <c r="I1068" s="4"/>
      <c r="J1068" s="4"/>
      <c r="K1068" s="4"/>
      <c r="L1068" s="4"/>
      <c r="M1068" s="4"/>
      <c r="N1068" s="4"/>
      <c r="O1068" s="4"/>
      <c r="P1068" s="4"/>
      <c r="Q1068" s="4"/>
      <c r="R1068" s="4"/>
      <c r="S1068" s="4"/>
      <c r="T1068" s="4"/>
      <c r="U1068" s="4"/>
      <c r="V1068" s="4"/>
      <c r="W1068" s="4"/>
      <c r="X1068" s="4"/>
      <c r="Y1068" s="4"/>
      <c r="Z1068" s="4"/>
      <c r="AA1068" s="4"/>
      <c r="AB1068" s="5"/>
    </row>
    <row r="1069" spans="1:28" x14ac:dyDescent="0.35">
      <c r="A1069" s="3"/>
      <c r="B1069" s="4"/>
      <c r="C1069" s="4"/>
      <c r="D1069" s="4"/>
      <c r="E1069" s="4"/>
      <c r="F1069" s="4"/>
      <c r="G1069" s="4"/>
      <c r="H1069" s="4"/>
      <c r="I1069" s="4"/>
      <c r="J1069" s="4"/>
      <c r="K1069" s="4"/>
      <c r="L1069" s="4"/>
      <c r="M1069" s="4"/>
      <c r="N1069" s="4"/>
      <c r="O1069" s="4"/>
      <c r="P1069" s="4"/>
      <c r="Q1069" s="4"/>
      <c r="R1069" s="4"/>
      <c r="S1069" s="4"/>
      <c r="T1069" s="4"/>
      <c r="U1069" s="4"/>
      <c r="V1069" s="4"/>
      <c r="W1069" s="4"/>
      <c r="X1069" s="4"/>
      <c r="Y1069" s="4"/>
      <c r="Z1069" s="4"/>
      <c r="AA1069" s="4"/>
      <c r="AB1069" s="5"/>
    </row>
    <row r="1070" spans="1:28" x14ac:dyDescent="0.35">
      <c r="A1070" s="3"/>
      <c r="B1070" s="4"/>
      <c r="C1070" s="4"/>
      <c r="D1070" s="4"/>
      <c r="E1070" s="4"/>
      <c r="F1070" s="4"/>
      <c r="G1070" s="4"/>
      <c r="H1070" s="4"/>
      <c r="I1070" s="4"/>
      <c r="J1070" s="4"/>
      <c r="K1070" s="4"/>
      <c r="L1070" s="4"/>
      <c r="M1070" s="4"/>
      <c r="N1070" s="4"/>
      <c r="O1070" s="4"/>
      <c r="P1070" s="4"/>
      <c r="Q1070" s="4"/>
      <c r="R1070" s="4"/>
      <c r="S1070" s="4"/>
      <c r="T1070" s="4"/>
      <c r="U1070" s="4"/>
      <c r="V1070" s="4"/>
      <c r="W1070" s="4"/>
      <c r="X1070" s="4"/>
      <c r="Y1070" s="4"/>
      <c r="Z1070" s="4"/>
      <c r="AA1070" s="4"/>
      <c r="AB1070" s="5"/>
    </row>
    <row r="1071" spans="1:28" x14ac:dyDescent="0.35">
      <c r="A1071" s="3"/>
      <c r="B1071" s="4"/>
      <c r="C1071" s="4"/>
      <c r="D1071" s="4"/>
      <c r="E1071" s="4"/>
      <c r="F1071" s="4"/>
      <c r="G1071" s="4"/>
      <c r="H1071" s="4"/>
      <c r="I1071" s="4"/>
      <c r="J1071" s="4"/>
      <c r="K1071" s="4"/>
      <c r="L1071" s="4"/>
      <c r="M1071" s="4"/>
      <c r="N1071" s="4"/>
      <c r="O1071" s="4"/>
      <c r="P1071" s="4"/>
      <c r="Q1071" s="4"/>
      <c r="R1071" s="4"/>
      <c r="S1071" s="4"/>
      <c r="T1071" s="4"/>
      <c r="U1071" s="4"/>
      <c r="V1071" s="4"/>
      <c r="W1071" s="4"/>
      <c r="X1071" s="4"/>
      <c r="Y1071" s="4"/>
      <c r="Z1071" s="4"/>
      <c r="AA1071" s="4"/>
      <c r="AB1071" s="5"/>
    </row>
    <row r="1072" spans="1:28" x14ac:dyDescent="0.35">
      <c r="A1072" s="3"/>
      <c r="B1072" s="4"/>
      <c r="C1072" s="4"/>
      <c r="D1072" s="4"/>
      <c r="E1072" s="4"/>
      <c r="F1072" s="4"/>
      <c r="G1072" s="4"/>
      <c r="H1072" s="4"/>
      <c r="I1072" s="4"/>
      <c r="J1072" s="4"/>
      <c r="K1072" s="4"/>
      <c r="L1072" s="4"/>
      <c r="M1072" s="4"/>
      <c r="N1072" s="4"/>
      <c r="O1072" s="4"/>
      <c r="P1072" s="4"/>
      <c r="Q1072" s="4"/>
      <c r="R1072" s="4"/>
      <c r="S1072" s="4"/>
      <c r="T1072" s="4"/>
      <c r="U1072" s="4"/>
      <c r="V1072" s="4"/>
      <c r="W1072" s="4"/>
      <c r="X1072" s="4"/>
      <c r="Y1072" s="4"/>
      <c r="Z1072" s="4"/>
      <c r="AA1072" s="4"/>
      <c r="AB1072" s="5"/>
    </row>
    <row r="1073" spans="1:28" x14ac:dyDescent="0.35">
      <c r="A1073" s="3"/>
      <c r="B1073" s="4"/>
      <c r="C1073" s="4"/>
      <c r="D1073" s="4"/>
      <c r="E1073" s="4"/>
      <c r="F1073" s="4"/>
      <c r="G1073" s="4"/>
      <c r="H1073" s="4"/>
      <c r="I1073" s="4"/>
      <c r="J1073" s="4"/>
      <c r="K1073" s="4"/>
      <c r="L1073" s="4"/>
      <c r="M1073" s="4"/>
      <c r="N1073" s="4"/>
      <c r="O1073" s="4"/>
      <c r="P1073" s="4"/>
      <c r="Q1073" s="4"/>
      <c r="R1073" s="4"/>
      <c r="S1073" s="4"/>
      <c r="T1073" s="4"/>
      <c r="U1073" s="4"/>
      <c r="V1073" s="4"/>
      <c r="W1073" s="4"/>
      <c r="X1073" s="4"/>
      <c r="Y1073" s="4"/>
      <c r="Z1073" s="4"/>
      <c r="AA1073" s="4"/>
      <c r="AB1073" s="5"/>
    </row>
    <row r="1074" spans="1:28" x14ac:dyDescent="0.35">
      <c r="A1074" s="3"/>
      <c r="B1074" s="4"/>
      <c r="C1074" s="4"/>
      <c r="D1074" s="4"/>
      <c r="E1074" s="4"/>
      <c r="F1074" s="4"/>
      <c r="G1074" s="4"/>
      <c r="H1074" s="4"/>
      <c r="I1074" s="4"/>
      <c r="J1074" s="4"/>
      <c r="K1074" s="4"/>
      <c r="L1074" s="4"/>
      <c r="M1074" s="4"/>
      <c r="N1074" s="4"/>
      <c r="O1074" s="4"/>
      <c r="P1074" s="4"/>
      <c r="Q1074" s="4"/>
      <c r="R1074" s="4"/>
      <c r="S1074" s="4"/>
      <c r="T1074" s="4"/>
      <c r="U1074" s="4"/>
      <c r="V1074" s="4"/>
      <c r="W1074" s="4"/>
      <c r="X1074" s="4"/>
      <c r="Y1074" s="4"/>
      <c r="Z1074" s="4"/>
      <c r="AA1074" s="4"/>
      <c r="AB1074" s="5"/>
    </row>
    <row r="1075" spans="1:28" x14ac:dyDescent="0.35">
      <c r="A1075" s="3"/>
      <c r="B1075" s="4"/>
      <c r="C1075" s="4"/>
      <c r="D1075" s="4"/>
      <c r="E1075" s="4"/>
      <c r="F1075" s="4"/>
      <c r="G1075" s="4"/>
      <c r="H1075" s="4"/>
      <c r="I1075" s="4"/>
      <c r="J1075" s="4"/>
      <c r="K1075" s="4"/>
      <c r="L1075" s="4"/>
      <c r="M1075" s="4"/>
      <c r="N1075" s="4"/>
      <c r="O1075" s="4"/>
      <c r="P1075" s="4"/>
      <c r="Q1075" s="4"/>
      <c r="R1075" s="4"/>
      <c r="S1075" s="4"/>
      <c r="T1075" s="4"/>
      <c r="U1075" s="4"/>
      <c r="V1075" s="4"/>
      <c r="W1075" s="4"/>
      <c r="X1075" s="4"/>
      <c r="Y1075" s="4"/>
      <c r="Z1075" s="4"/>
      <c r="AA1075" s="4"/>
      <c r="AB1075" s="5"/>
    </row>
    <row r="1076" spans="1:28" x14ac:dyDescent="0.35">
      <c r="A1076" s="3"/>
      <c r="B1076" s="4"/>
      <c r="C1076" s="4"/>
      <c r="D1076" s="4"/>
      <c r="E1076" s="4"/>
      <c r="F1076" s="4"/>
      <c r="G1076" s="4"/>
      <c r="H1076" s="4"/>
      <c r="I1076" s="4"/>
      <c r="J1076" s="4"/>
      <c r="K1076" s="4"/>
      <c r="L1076" s="4"/>
      <c r="M1076" s="4"/>
      <c r="N1076" s="4"/>
      <c r="O1076" s="4"/>
      <c r="P1076" s="4"/>
      <c r="Q1076" s="4"/>
      <c r="R1076" s="4"/>
      <c r="S1076" s="4"/>
      <c r="T1076" s="4"/>
      <c r="U1076" s="4"/>
      <c r="V1076" s="4"/>
      <c r="W1076" s="4"/>
      <c r="X1076" s="4"/>
      <c r="Y1076" s="4"/>
      <c r="Z1076" s="4"/>
      <c r="AA1076" s="4"/>
      <c r="AB1076" s="5"/>
    </row>
    <row r="1077" spans="1:28" x14ac:dyDescent="0.35">
      <c r="A1077" s="3"/>
      <c r="B1077" s="4"/>
      <c r="C1077" s="4"/>
      <c r="D1077" s="4"/>
      <c r="E1077" s="4"/>
      <c r="F1077" s="4"/>
      <c r="G1077" s="4"/>
      <c r="H1077" s="4"/>
      <c r="I1077" s="4"/>
      <c r="J1077" s="4"/>
      <c r="K1077" s="4"/>
      <c r="L1077" s="4"/>
      <c r="M1077" s="4"/>
      <c r="N1077" s="4"/>
      <c r="O1077" s="4"/>
      <c r="P1077" s="4"/>
      <c r="Q1077" s="4"/>
      <c r="R1077" s="4"/>
      <c r="S1077" s="4"/>
      <c r="T1077" s="4"/>
      <c r="U1077" s="4"/>
      <c r="V1077" s="4"/>
      <c r="W1077" s="4"/>
      <c r="X1077" s="4"/>
      <c r="Y1077" s="4"/>
      <c r="Z1077" s="4"/>
      <c r="AA1077" s="4"/>
      <c r="AB1077" s="5"/>
    </row>
    <row r="1078" spans="1:28" x14ac:dyDescent="0.35">
      <c r="A1078" s="3"/>
      <c r="B1078" s="4"/>
      <c r="C1078" s="4"/>
      <c r="D1078" s="4"/>
      <c r="E1078" s="4"/>
      <c r="F1078" s="4"/>
      <c r="G1078" s="4"/>
      <c r="H1078" s="4"/>
      <c r="I1078" s="4"/>
      <c r="J1078" s="4"/>
      <c r="K1078" s="4"/>
      <c r="L1078" s="4"/>
      <c r="M1078" s="4"/>
      <c r="N1078" s="4"/>
      <c r="O1078" s="4"/>
      <c r="P1078" s="4"/>
      <c r="Q1078" s="4"/>
      <c r="R1078" s="4"/>
      <c r="S1078" s="4"/>
      <c r="T1078" s="4"/>
      <c r="U1078" s="4"/>
      <c r="V1078" s="4"/>
      <c r="W1078" s="4"/>
      <c r="X1078" s="4"/>
      <c r="Y1078" s="4"/>
      <c r="Z1078" s="4"/>
      <c r="AA1078" s="4"/>
      <c r="AB1078" s="5"/>
    </row>
    <row r="1079" spans="1:28" x14ac:dyDescent="0.35">
      <c r="A1079" s="3"/>
      <c r="B1079" s="4"/>
      <c r="C1079" s="4"/>
      <c r="D1079" s="4"/>
      <c r="E1079" s="4"/>
      <c r="F1079" s="4"/>
      <c r="G1079" s="4"/>
      <c r="H1079" s="4"/>
      <c r="I1079" s="4"/>
      <c r="J1079" s="4"/>
      <c r="K1079" s="4"/>
      <c r="L1079" s="4"/>
      <c r="M1079" s="4"/>
      <c r="N1079" s="4"/>
      <c r="O1079" s="4"/>
      <c r="P1079" s="4"/>
      <c r="Q1079" s="4"/>
      <c r="R1079" s="4"/>
      <c r="S1079" s="4"/>
      <c r="T1079" s="4"/>
      <c r="U1079" s="4"/>
      <c r="V1079" s="4"/>
      <c r="W1079" s="4"/>
      <c r="X1079" s="4"/>
      <c r="Y1079" s="4"/>
      <c r="Z1079" s="4"/>
      <c r="AA1079" s="4"/>
      <c r="AB1079" s="5"/>
    </row>
    <row r="1080" spans="1:28" x14ac:dyDescent="0.35">
      <c r="A1080" s="3"/>
      <c r="B1080" s="4"/>
      <c r="C1080" s="4"/>
      <c r="D1080" s="4"/>
      <c r="E1080" s="4"/>
      <c r="F1080" s="4"/>
      <c r="G1080" s="4"/>
      <c r="H1080" s="4"/>
      <c r="I1080" s="4"/>
      <c r="J1080" s="4"/>
      <c r="K1080" s="4"/>
      <c r="L1080" s="4"/>
      <c r="M1080" s="4"/>
      <c r="N1080" s="4"/>
      <c r="O1080" s="4"/>
      <c r="P1080" s="4"/>
      <c r="Q1080" s="4"/>
      <c r="R1080" s="4"/>
      <c r="S1080" s="4"/>
      <c r="T1080" s="4"/>
      <c r="U1080" s="4"/>
      <c r="V1080" s="4"/>
      <c r="W1080" s="4"/>
      <c r="X1080" s="4"/>
      <c r="Y1080" s="4"/>
      <c r="Z1080" s="4"/>
      <c r="AA1080" s="4"/>
      <c r="AB1080" s="5"/>
    </row>
    <row r="1081" spans="1:28" x14ac:dyDescent="0.35">
      <c r="A1081" s="3"/>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c r="AA1081" s="4"/>
      <c r="AB1081" s="5"/>
    </row>
    <row r="1082" spans="1:28" x14ac:dyDescent="0.35">
      <c r="A1082" s="3"/>
      <c r="B1082" s="4"/>
      <c r="C1082" s="4"/>
      <c r="D1082" s="4"/>
      <c r="E1082" s="4"/>
      <c r="F1082" s="4"/>
      <c r="G1082" s="4"/>
      <c r="H1082" s="4"/>
      <c r="I1082" s="4"/>
      <c r="J1082" s="4"/>
      <c r="K1082" s="4"/>
      <c r="L1082" s="4"/>
      <c r="M1082" s="4"/>
      <c r="N1082" s="4"/>
      <c r="O1082" s="4"/>
      <c r="P1082" s="4"/>
      <c r="Q1082" s="4"/>
      <c r="R1082" s="4"/>
      <c r="S1082" s="4"/>
      <c r="T1082" s="4"/>
      <c r="U1082" s="4"/>
      <c r="V1082" s="4"/>
      <c r="W1082" s="4"/>
      <c r="X1082" s="4"/>
      <c r="Y1082" s="4"/>
      <c r="Z1082" s="4"/>
      <c r="AA1082" s="4"/>
      <c r="AB1082" s="5"/>
    </row>
    <row r="1083" spans="1:28" x14ac:dyDescent="0.35">
      <c r="A1083" s="3"/>
      <c r="B1083" s="4"/>
      <c r="C1083" s="4"/>
      <c r="D1083" s="4"/>
      <c r="E1083" s="4"/>
      <c r="F1083" s="4"/>
      <c r="G1083" s="4"/>
      <c r="H1083" s="4"/>
      <c r="I1083" s="4"/>
      <c r="J1083" s="4"/>
      <c r="K1083" s="4"/>
      <c r="L1083" s="4"/>
      <c r="M1083" s="4"/>
      <c r="N1083" s="4"/>
      <c r="O1083" s="4"/>
      <c r="P1083" s="4"/>
      <c r="Q1083" s="4"/>
      <c r="R1083" s="4"/>
      <c r="S1083" s="4"/>
      <c r="T1083" s="4"/>
      <c r="U1083" s="4"/>
      <c r="V1083" s="4"/>
      <c r="W1083" s="4"/>
      <c r="X1083" s="4"/>
      <c r="Y1083" s="4"/>
      <c r="Z1083" s="4"/>
      <c r="AA1083" s="4"/>
      <c r="AB1083" s="5"/>
    </row>
    <row r="1084" spans="1:28" x14ac:dyDescent="0.35">
      <c r="A1084" s="3"/>
      <c r="B1084" s="4"/>
      <c r="C1084" s="4"/>
      <c r="D1084" s="4"/>
      <c r="E1084" s="4"/>
      <c r="F1084" s="4"/>
      <c r="G1084" s="4"/>
      <c r="H1084" s="4"/>
      <c r="I1084" s="4"/>
      <c r="J1084" s="4"/>
      <c r="K1084" s="4"/>
      <c r="L1084" s="4"/>
      <c r="M1084" s="4"/>
      <c r="N1084" s="4"/>
      <c r="O1084" s="4"/>
      <c r="P1084" s="4"/>
      <c r="Q1084" s="4"/>
      <c r="R1084" s="4"/>
      <c r="S1084" s="4"/>
      <c r="T1084" s="4"/>
      <c r="U1084" s="4"/>
      <c r="V1084" s="4"/>
      <c r="W1084" s="4"/>
      <c r="X1084" s="4"/>
      <c r="Y1084" s="4"/>
      <c r="Z1084" s="4"/>
      <c r="AA1084" s="4"/>
      <c r="AB1084" s="5"/>
    </row>
    <row r="1085" spans="1:28" x14ac:dyDescent="0.35">
      <c r="A1085" s="3"/>
      <c r="B1085" s="4"/>
      <c r="C1085" s="4"/>
      <c r="D1085" s="4"/>
      <c r="E1085" s="4"/>
      <c r="F1085" s="4"/>
      <c r="G1085" s="4"/>
      <c r="H1085" s="4"/>
      <c r="I1085" s="4"/>
      <c r="J1085" s="4"/>
      <c r="K1085" s="4"/>
      <c r="L1085" s="4"/>
      <c r="M1085" s="4"/>
      <c r="N1085" s="4"/>
      <c r="O1085" s="4"/>
      <c r="P1085" s="4"/>
      <c r="Q1085" s="4"/>
      <c r="R1085" s="4"/>
      <c r="S1085" s="4"/>
      <c r="T1085" s="4"/>
      <c r="U1085" s="4"/>
      <c r="V1085" s="4"/>
      <c r="W1085" s="4"/>
      <c r="X1085" s="4"/>
      <c r="Y1085" s="4"/>
      <c r="Z1085" s="4"/>
      <c r="AA1085" s="4"/>
      <c r="AB1085" s="5"/>
    </row>
    <row r="1086" spans="1:28" x14ac:dyDescent="0.35">
      <c r="A1086" s="3"/>
      <c r="B1086" s="4"/>
      <c r="C1086" s="4"/>
      <c r="D1086" s="4"/>
      <c r="E1086" s="4"/>
      <c r="F1086" s="4"/>
      <c r="G1086" s="4"/>
      <c r="H1086" s="4"/>
      <c r="I1086" s="4"/>
      <c r="J1086" s="4"/>
      <c r="K1086" s="4"/>
      <c r="L1086" s="4"/>
      <c r="M1086" s="4"/>
      <c r="N1086" s="4"/>
      <c r="O1086" s="4"/>
      <c r="P1086" s="4"/>
      <c r="Q1086" s="4"/>
      <c r="R1086" s="4"/>
      <c r="S1086" s="4"/>
      <c r="T1086" s="4"/>
      <c r="U1086" s="4"/>
      <c r="V1086" s="4"/>
      <c r="W1086" s="4"/>
      <c r="X1086" s="4"/>
      <c r="Y1086" s="4"/>
      <c r="Z1086" s="4"/>
      <c r="AA1086" s="4"/>
      <c r="AB1086" s="5"/>
    </row>
    <row r="1087" spans="1:28" x14ac:dyDescent="0.35">
      <c r="A1087" s="3"/>
      <c r="B1087" s="4"/>
      <c r="C1087" s="4"/>
      <c r="D1087" s="4"/>
      <c r="E1087" s="4"/>
      <c r="F1087" s="4"/>
      <c r="G1087" s="4"/>
      <c r="H1087" s="4"/>
      <c r="I1087" s="4"/>
      <c r="J1087" s="4"/>
      <c r="K1087" s="4"/>
      <c r="L1087" s="4"/>
      <c r="M1087" s="4"/>
      <c r="N1087" s="4"/>
      <c r="O1087" s="4"/>
      <c r="P1087" s="4"/>
      <c r="Q1087" s="4"/>
      <c r="R1087" s="4"/>
      <c r="S1087" s="4"/>
      <c r="T1087" s="4"/>
      <c r="U1087" s="4"/>
      <c r="V1087" s="4"/>
      <c r="W1087" s="4"/>
      <c r="X1087" s="4"/>
      <c r="Y1087" s="4"/>
      <c r="Z1087" s="4"/>
      <c r="AA1087" s="4"/>
      <c r="AB1087" s="5"/>
    </row>
    <row r="1088" spans="1:28" x14ac:dyDescent="0.35">
      <c r="A1088" s="3"/>
      <c r="B1088" s="4"/>
      <c r="C1088" s="4"/>
      <c r="D1088" s="4"/>
      <c r="E1088" s="4"/>
      <c r="F1088" s="4"/>
      <c r="G1088" s="4"/>
      <c r="H1088" s="4"/>
      <c r="I1088" s="4"/>
      <c r="J1088" s="4"/>
      <c r="K1088" s="4"/>
      <c r="L1088" s="4"/>
      <c r="M1088" s="4"/>
      <c r="N1088" s="4"/>
      <c r="O1088" s="4"/>
      <c r="P1088" s="4"/>
      <c r="Q1088" s="4"/>
      <c r="R1088" s="4"/>
      <c r="S1088" s="4"/>
      <c r="T1088" s="4"/>
      <c r="U1088" s="4"/>
      <c r="V1088" s="4"/>
      <c r="W1088" s="4"/>
      <c r="X1088" s="4"/>
      <c r="Y1088" s="4"/>
      <c r="Z1088" s="4"/>
      <c r="AA1088" s="4"/>
      <c r="AB1088" s="5"/>
    </row>
    <row r="1089" spans="1:28" x14ac:dyDescent="0.35">
      <c r="A1089" s="3"/>
      <c r="B1089" s="4"/>
      <c r="C1089" s="4"/>
      <c r="D1089" s="4"/>
      <c r="E1089" s="4"/>
      <c r="F1089" s="4"/>
      <c r="G1089" s="4"/>
      <c r="H1089" s="4"/>
      <c r="I1089" s="4"/>
      <c r="J1089" s="4"/>
      <c r="K1089" s="4"/>
      <c r="L1089" s="4"/>
      <c r="M1089" s="4"/>
      <c r="N1089" s="4"/>
      <c r="O1089" s="4"/>
      <c r="P1089" s="4"/>
      <c r="Q1089" s="4"/>
      <c r="R1089" s="4"/>
      <c r="S1089" s="4"/>
      <c r="T1089" s="4"/>
      <c r="U1089" s="4"/>
      <c r="V1089" s="4"/>
      <c r="W1089" s="4"/>
      <c r="X1089" s="4"/>
      <c r="Y1089" s="4"/>
      <c r="Z1089" s="4"/>
      <c r="AA1089" s="4"/>
      <c r="AB1089" s="5"/>
    </row>
    <row r="1090" spans="1:28" x14ac:dyDescent="0.35">
      <c r="A1090" s="3"/>
      <c r="B1090" s="4"/>
      <c r="C1090" s="4"/>
      <c r="D1090" s="4"/>
      <c r="E1090" s="4"/>
      <c r="F1090" s="4"/>
      <c r="G1090" s="4"/>
      <c r="H1090" s="4"/>
      <c r="I1090" s="4"/>
      <c r="J1090" s="4"/>
      <c r="K1090" s="4"/>
      <c r="L1090" s="4"/>
      <c r="M1090" s="4"/>
      <c r="N1090" s="4"/>
      <c r="O1090" s="4"/>
      <c r="P1090" s="4"/>
      <c r="Q1090" s="4"/>
      <c r="R1090" s="4"/>
      <c r="S1090" s="4"/>
      <c r="T1090" s="4"/>
      <c r="U1090" s="4"/>
      <c r="V1090" s="4"/>
      <c r="W1090" s="4"/>
      <c r="X1090" s="4"/>
      <c r="Y1090" s="4"/>
      <c r="Z1090" s="4"/>
      <c r="AA1090" s="4"/>
      <c r="AB1090" s="5"/>
    </row>
    <row r="1091" spans="1:28" x14ac:dyDescent="0.35">
      <c r="A1091" s="3"/>
      <c r="B1091" s="4"/>
      <c r="C1091" s="4"/>
      <c r="D1091" s="4"/>
      <c r="E1091" s="4"/>
      <c r="F1091" s="4"/>
      <c r="G1091" s="4"/>
      <c r="H1091" s="4"/>
      <c r="I1091" s="4"/>
      <c r="J1091" s="4"/>
      <c r="K1091" s="4"/>
      <c r="L1091" s="4"/>
      <c r="M1091" s="4"/>
      <c r="N1091" s="4"/>
      <c r="O1091" s="4"/>
      <c r="P1091" s="4"/>
      <c r="Q1091" s="4"/>
      <c r="R1091" s="4"/>
      <c r="S1091" s="4"/>
      <c r="T1091" s="4"/>
      <c r="U1091" s="4"/>
      <c r="V1091" s="4"/>
      <c r="W1091" s="4"/>
      <c r="X1091" s="4"/>
      <c r="Y1091" s="4"/>
      <c r="Z1091" s="4"/>
      <c r="AA1091" s="4"/>
      <c r="AB1091" s="5"/>
    </row>
    <row r="1092" spans="1:28" x14ac:dyDescent="0.35">
      <c r="A1092" s="3"/>
      <c r="B1092" s="4"/>
      <c r="C1092" s="4"/>
      <c r="D1092" s="4"/>
      <c r="E1092" s="4"/>
      <c r="F1092" s="4"/>
      <c r="G1092" s="4"/>
      <c r="H1092" s="4"/>
      <c r="I1092" s="4"/>
      <c r="J1092" s="4"/>
      <c r="K1092" s="4"/>
      <c r="L1092" s="4"/>
      <c r="M1092" s="4"/>
      <c r="N1092" s="4"/>
      <c r="O1092" s="4"/>
      <c r="P1092" s="4"/>
      <c r="Q1092" s="4"/>
      <c r="R1092" s="4"/>
      <c r="S1092" s="4"/>
      <c r="T1092" s="4"/>
      <c r="U1092" s="4"/>
      <c r="V1092" s="4"/>
      <c r="W1092" s="4"/>
      <c r="X1092" s="4"/>
      <c r="Y1092" s="4"/>
      <c r="Z1092" s="4"/>
      <c r="AA1092" s="4"/>
      <c r="AB1092" s="5"/>
    </row>
    <row r="1093" spans="1:28" x14ac:dyDescent="0.35">
      <c r="A1093" s="3"/>
      <c r="B1093" s="4"/>
      <c r="C1093" s="4"/>
      <c r="D1093" s="4"/>
      <c r="E1093" s="4"/>
      <c r="F1093" s="4"/>
      <c r="G1093" s="4"/>
      <c r="H1093" s="4"/>
      <c r="I1093" s="4"/>
      <c r="J1093" s="4"/>
      <c r="K1093" s="4"/>
      <c r="L1093" s="4"/>
      <c r="M1093" s="4"/>
      <c r="N1093" s="4"/>
      <c r="O1093" s="4"/>
      <c r="P1093" s="4"/>
      <c r="Q1093" s="4"/>
      <c r="R1093" s="4"/>
      <c r="S1093" s="4"/>
      <c r="T1093" s="4"/>
      <c r="U1093" s="4"/>
      <c r="V1093" s="4"/>
      <c r="W1093" s="4"/>
      <c r="X1093" s="4"/>
      <c r="Y1093" s="4"/>
      <c r="Z1093" s="4"/>
      <c r="AA1093" s="4"/>
      <c r="AB1093" s="5"/>
    </row>
    <row r="1094" spans="1:28" x14ac:dyDescent="0.35">
      <c r="A1094" s="3"/>
      <c r="B1094" s="4"/>
      <c r="C1094" s="4"/>
      <c r="D1094" s="4"/>
      <c r="E1094" s="4"/>
      <c r="F1094" s="4"/>
      <c r="G1094" s="4"/>
      <c r="H1094" s="4"/>
      <c r="I1094" s="4"/>
      <c r="J1094" s="4"/>
      <c r="K1094" s="4"/>
      <c r="L1094" s="4"/>
      <c r="M1094" s="4"/>
      <c r="N1094" s="4"/>
      <c r="O1094" s="4"/>
      <c r="P1094" s="4"/>
      <c r="Q1094" s="4"/>
      <c r="R1094" s="4"/>
      <c r="S1094" s="4"/>
      <c r="T1094" s="4"/>
      <c r="U1094" s="4"/>
      <c r="V1094" s="4"/>
      <c r="W1094" s="4"/>
      <c r="X1094" s="4"/>
      <c r="Y1094" s="4"/>
      <c r="Z1094" s="4"/>
      <c r="AA1094" s="4"/>
      <c r="AB1094" s="5"/>
    </row>
    <row r="1095" spans="1:28" x14ac:dyDescent="0.35">
      <c r="A1095" s="3"/>
      <c r="B1095" s="4"/>
      <c r="C1095" s="4"/>
      <c r="D1095" s="4"/>
      <c r="E1095" s="4"/>
      <c r="F1095" s="4"/>
      <c r="G1095" s="4"/>
      <c r="H1095" s="4"/>
      <c r="I1095" s="4"/>
      <c r="J1095" s="4"/>
      <c r="K1095" s="4"/>
      <c r="L1095" s="4"/>
      <c r="M1095" s="4"/>
      <c r="N1095" s="4"/>
      <c r="O1095" s="4"/>
      <c r="P1095" s="4"/>
      <c r="Q1095" s="4"/>
      <c r="R1095" s="4"/>
      <c r="S1095" s="4"/>
      <c r="T1095" s="4"/>
      <c r="U1095" s="4"/>
      <c r="V1095" s="4"/>
      <c r="W1095" s="4"/>
      <c r="X1095" s="4"/>
      <c r="Y1095" s="4"/>
      <c r="Z1095" s="4"/>
      <c r="AA1095" s="4"/>
      <c r="AB1095" s="5"/>
    </row>
    <row r="1096" spans="1:28" x14ac:dyDescent="0.35">
      <c r="A1096" s="3"/>
      <c r="B1096" s="4"/>
      <c r="C1096" s="4"/>
      <c r="D1096" s="4"/>
      <c r="E1096" s="4"/>
      <c r="F1096" s="4"/>
      <c r="G1096" s="4"/>
      <c r="H1096" s="4"/>
      <c r="I1096" s="4"/>
      <c r="J1096" s="4"/>
      <c r="K1096" s="4"/>
      <c r="L1096" s="4"/>
      <c r="M1096" s="4"/>
      <c r="N1096" s="4"/>
      <c r="O1096" s="4"/>
      <c r="P1096" s="4"/>
      <c r="Q1096" s="4"/>
      <c r="R1096" s="4"/>
      <c r="S1096" s="4"/>
      <c r="T1096" s="4"/>
      <c r="U1096" s="4"/>
      <c r="V1096" s="4"/>
      <c r="W1096" s="4"/>
      <c r="X1096" s="4"/>
      <c r="Y1096" s="4"/>
      <c r="Z1096" s="4"/>
      <c r="AA1096" s="4"/>
      <c r="AB1096" s="5"/>
    </row>
    <row r="1097" spans="1:28" x14ac:dyDescent="0.35">
      <c r="A1097" s="3"/>
      <c r="B1097" s="4"/>
      <c r="C1097" s="4"/>
      <c r="D1097" s="4"/>
      <c r="E1097" s="4"/>
      <c r="F1097" s="4"/>
      <c r="G1097" s="4"/>
      <c r="H1097" s="4"/>
      <c r="I1097" s="4"/>
      <c r="J1097" s="4"/>
      <c r="K1097" s="4"/>
      <c r="L1097" s="4"/>
      <c r="M1097" s="4"/>
      <c r="N1097" s="4"/>
      <c r="O1097" s="4"/>
      <c r="P1097" s="4"/>
      <c r="Q1097" s="4"/>
      <c r="R1097" s="4"/>
      <c r="S1097" s="4"/>
      <c r="T1097" s="4"/>
      <c r="U1097" s="4"/>
      <c r="V1097" s="4"/>
      <c r="W1097" s="4"/>
      <c r="X1097" s="4"/>
      <c r="Y1097" s="4"/>
      <c r="Z1097" s="4"/>
      <c r="AA1097" s="4"/>
      <c r="AB1097" s="5"/>
    </row>
    <row r="1098" spans="1:28" x14ac:dyDescent="0.35">
      <c r="A1098" s="3"/>
      <c r="B1098" s="4"/>
      <c r="C1098" s="4"/>
      <c r="D1098" s="4"/>
      <c r="E1098" s="4"/>
      <c r="F1098" s="4"/>
      <c r="G1098" s="4"/>
      <c r="H1098" s="4"/>
      <c r="I1098" s="4"/>
      <c r="J1098" s="4"/>
      <c r="K1098" s="4"/>
      <c r="L1098" s="4"/>
      <c r="M1098" s="4"/>
      <c r="N1098" s="4"/>
      <c r="O1098" s="4"/>
      <c r="P1098" s="4"/>
      <c r="Q1098" s="4"/>
      <c r="R1098" s="4"/>
      <c r="S1098" s="4"/>
      <c r="T1098" s="4"/>
      <c r="U1098" s="4"/>
      <c r="V1098" s="4"/>
      <c r="W1098" s="4"/>
      <c r="X1098" s="4"/>
      <c r="Y1098" s="4"/>
      <c r="Z1098" s="4"/>
      <c r="AA1098" s="4"/>
      <c r="AB1098" s="5"/>
    </row>
    <row r="1099" spans="1:28" x14ac:dyDescent="0.35">
      <c r="A1099" s="3"/>
      <c r="B1099" s="4"/>
      <c r="C1099" s="4"/>
      <c r="D1099" s="4"/>
      <c r="E1099" s="4"/>
      <c r="F1099" s="4"/>
      <c r="G1099" s="4"/>
      <c r="H1099" s="4"/>
      <c r="I1099" s="4"/>
      <c r="J1099" s="4"/>
      <c r="K1099" s="4"/>
      <c r="L1099" s="4"/>
      <c r="M1099" s="4"/>
      <c r="N1099" s="4"/>
      <c r="O1099" s="4"/>
      <c r="P1099" s="4"/>
      <c r="Q1099" s="4"/>
      <c r="R1099" s="4"/>
      <c r="S1099" s="4"/>
      <c r="T1099" s="4"/>
      <c r="U1099" s="4"/>
      <c r="V1099" s="4"/>
      <c r="W1099" s="4"/>
      <c r="X1099" s="4"/>
      <c r="Y1099" s="4"/>
      <c r="Z1099" s="4"/>
      <c r="AA1099" s="4"/>
      <c r="AB1099" s="5"/>
    </row>
    <row r="1100" spans="1:28" x14ac:dyDescent="0.35">
      <c r="A1100" s="3"/>
      <c r="B1100" s="4"/>
      <c r="C1100" s="4"/>
      <c r="D1100" s="4"/>
      <c r="E1100" s="4"/>
      <c r="F1100" s="4"/>
      <c r="G1100" s="4"/>
      <c r="H1100" s="4"/>
      <c r="I1100" s="4"/>
      <c r="J1100" s="4"/>
      <c r="K1100" s="4"/>
      <c r="L1100" s="4"/>
      <c r="M1100" s="4"/>
      <c r="N1100" s="4"/>
      <c r="O1100" s="4"/>
      <c r="P1100" s="4"/>
      <c r="Q1100" s="4"/>
      <c r="R1100" s="4"/>
      <c r="S1100" s="4"/>
      <c r="T1100" s="4"/>
      <c r="U1100" s="4"/>
      <c r="V1100" s="4"/>
      <c r="W1100" s="4"/>
      <c r="X1100" s="4"/>
      <c r="Y1100" s="4"/>
      <c r="Z1100" s="4"/>
      <c r="AA1100" s="4"/>
      <c r="AB1100" s="5"/>
    </row>
    <row r="1101" spans="1:28" x14ac:dyDescent="0.35">
      <c r="A1101" s="3"/>
      <c r="B1101" s="4"/>
      <c r="C1101" s="4"/>
      <c r="D1101" s="4"/>
      <c r="E1101" s="4"/>
      <c r="F1101" s="4"/>
      <c r="G1101" s="4"/>
      <c r="H1101" s="4"/>
      <c r="I1101" s="4"/>
      <c r="J1101" s="4"/>
      <c r="K1101" s="4"/>
      <c r="L1101" s="4"/>
      <c r="M1101" s="4"/>
      <c r="N1101" s="4"/>
      <c r="O1101" s="4"/>
      <c r="P1101" s="4"/>
      <c r="Q1101" s="4"/>
      <c r="R1101" s="4"/>
      <c r="S1101" s="4"/>
      <c r="T1101" s="4"/>
      <c r="U1101" s="4"/>
      <c r="V1101" s="4"/>
      <c r="W1101" s="4"/>
      <c r="X1101" s="4"/>
      <c r="Y1101" s="4"/>
      <c r="Z1101" s="4"/>
      <c r="AA1101" s="4"/>
      <c r="AB1101" s="5"/>
    </row>
    <row r="1102" spans="1:28" x14ac:dyDescent="0.35">
      <c r="A1102" s="3"/>
      <c r="B1102" s="4"/>
      <c r="C1102" s="4"/>
      <c r="D1102" s="4"/>
      <c r="E1102" s="4"/>
      <c r="F1102" s="4"/>
      <c r="G1102" s="4"/>
      <c r="H1102" s="4"/>
      <c r="I1102" s="4"/>
      <c r="J1102" s="4"/>
      <c r="K1102" s="4"/>
      <c r="L1102" s="4"/>
      <c r="M1102" s="4"/>
      <c r="N1102" s="4"/>
      <c r="O1102" s="4"/>
      <c r="P1102" s="4"/>
      <c r="Q1102" s="4"/>
      <c r="R1102" s="4"/>
      <c r="S1102" s="4"/>
      <c r="T1102" s="4"/>
      <c r="U1102" s="4"/>
      <c r="V1102" s="4"/>
      <c r="W1102" s="4"/>
      <c r="X1102" s="4"/>
      <c r="Y1102" s="4"/>
      <c r="Z1102" s="4"/>
      <c r="AA1102" s="4"/>
      <c r="AB1102" s="5"/>
    </row>
    <row r="1103" spans="1:28" x14ac:dyDescent="0.35">
      <c r="A1103" s="3"/>
      <c r="B1103" s="4"/>
      <c r="C1103" s="4"/>
      <c r="D1103" s="4"/>
      <c r="E1103" s="4"/>
      <c r="F1103" s="4"/>
      <c r="G1103" s="4"/>
      <c r="H1103" s="4"/>
      <c r="I1103" s="4"/>
      <c r="J1103" s="4"/>
      <c r="K1103" s="4"/>
      <c r="L1103" s="4"/>
      <c r="M1103" s="4"/>
      <c r="N1103" s="4"/>
      <c r="O1103" s="4"/>
      <c r="P1103" s="4"/>
      <c r="Q1103" s="4"/>
      <c r="R1103" s="4"/>
      <c r="S1103" s="4"/>
      <c r="T1103" s="4"/>
      <c r="U1103" s="4"/>
      <c r="V1103" s="4"/>
      <c r="W1103" s="4"/>
      <c r="X1103" s="4"/>
      <c r="Y1103" s="4"/>
      <c r="Z1103" s="4"/>
      <c r="AA1103" s="4"/>
      <c r="AB1103" s="5"/>
    </row>
    <row r="1104" spans="1:28" x14ac:dyDescent="0.35">
      <c r="A1104" s="3"/>
      <c r="B1104" s="4"/>
      <c r="C1104" s="4"/>
      <c r="D1104" s="4"/>
      <c r="E1104" s="4"/>
      <c r="F1104" s="4"/>
      <c r="G1104" s="4"/>
      <c r="H1104" s="4"/>
      <c r="I1104" s="4"/>
      <c r="J1104" s="4"/>
      <c r="K1104" s="4"/>
      <c r="L1104" s="4"/>
      <c r="M1104" s="4"/>
      <c r="N1104" s="4"/>
      <c r="O1104" s="4"/>
      <c r="P1104" s="4"/>
      <c r="Q1104" s="4"/>
      <c r="R1104" s="4"/>
      <c r="S1104" s="4"/>
      <c r="T1104" s="4"/>
      <c r="U1104" s="4"/>
      <c r="V1104" s="4"/>
      <c r="W1104" s="4"/>
      <c r="X1104" s="4"/>
      <c r="Y1104" s="4"/>
      <c r="Z1104" s="4"/>
      <c r="AA1104" s="4"/>
      <c r="AB1104" s="5"/>
    </row>
    <row r="1105" spans="1:28" x14ac:dyDescent="0.35">
      <c r="A1105" s="3"/>
      <c r="B1105" s="4"/>
      <c r="C1105" s="4"/>
      <c r="D1105" s="4"/>
      <c r="E1105" s="4"/>
      <c r="F1105" s="4"/>
      <c r="G1105" s="4"/>
      <c r="H1105" s="4"/>
      <c r="I1105" s="4"/>
      <c r="J1105" s="4"/>
      <c r="K1105" s="4"/>
      <c r="L1105" s="4"/>
      <c r="M1105" s="4"/>
      <c r="N1105" s="4"/>
      <c r="O1105" s="4"/>
      <c r="P1105" s="4"/>
      <c r="Q1105" s="4"/>
      <c r="R1105" s="4"/>
      <c r="S1105" s="4"/>
      <c r="T1105" s="4"/>
      <c r="U1105" s="4"/>
      <c r="V1105" s="4"/>
      <c r="W1105" s="4"/>
      <c r="X1105" s="4"/>
      <c r="Y1105" s="4"/>
      <c r="Z1105" s="4"/>
      <c r="AA1105" s="4"/>
      <c r="AB1105" s="5"/>
    </row>
    <row r="1106" spans="1:28" x14ac:dyDescent="0.35">
      <c r="A1106" s="3"/>
      <c r="B1106" s="4"/>
      <c r="C1106" s="4"/>
      <c r="D1106" s="4"/>
      <c r="E1106" s="4"/>
      <c r="F1106" s="4"/>
      <c r="G1106" s="4"/>
      <c r="H1106" s="4"/>
      <c r="I1106" s="4"/>
      <c r="J1106" s="4"/>
      <c r="K1106" s="4"/>
      <c r="L1106" s="4"/>
      <c r="M1106" s="4"/>
      <c r="N1106" s="4"/>
      <c r="O1106" s="4"/>
      <c r="P1106" s="4"/>
      <c r="Q1106" s="4"/>
      <c r="R1106" s="4"/>
      <c r="S1106" s="4"/>
      <c r="T1106" s="4"/>
      <c r="U1106" s="4"/>
      <c r="V1106" s="4"/>
      <c r="W1106" s="4"/>
      <c r="X1106" s="4"/>
      <c r="Y1106" s="4"/>
      <c r="Z1106" s="4"/>
      <c r="AA1106" s="4"/>
      <c r="AB1106" s="5"/>
    </row>
    <row r="1107" spans="1:28" x14ac:dyDescent="0.35">
      <c r="A1107" s="3"/>
      <c r="B1107" s="4"/>
      <c r="C1107" s="4"/>
      <c r="D1107" s="4"/>
      <c r="E1107" s="4"/>
      <c r="F1107" s="4"/>
      <c r="G1107" s="4"/>
      <c r="H1107" s="4"/>
      <c r="I1107" s="4"/>
      <c r="J1107" s="4"/>
      <c r="K1107" s="4"/>
      <c r="L1107" s="4"/>
      <c r="M1107" s="4"/>
      <c r="N1107" s="4"/>
      <c r="O1107" s="4"/>
      <c r="P1107" s="4"/>
      <c r="Q1107" s="4"/>
      <c r="R1107" s="4"/>
      <c r="S1107" s="4"/>
      <c r="T1107" s="4"/>
      <c r="U1107" s="4"/>
      <c r="V1107" s="4"/>
      <c r="W1107" s="4"/>
      <c r="X1107" s="4"/>
      <c r="Y1107" s="4"/>
      <c r="Z1107" s="4"/>
      <c r="AA1107" s="4"/>
      <c r="AB1107" s="5"/>
    </row>
    <row r="1108" spans="1:28" x14ac:dyDescent="0.35">
      <c r="A1108" s="3"/>
      <c r="B1108" s="4"/>
      <c r="C1108" s="4"/>
      <c r="D1108" s="4"/>
      <c r="E1108" s="4"/>
      <c r="F1108" s="4"/>
      <c r="G1108" s="4"/>
      <c r="H1108" s="4"/>
      <c r="I1108" s="4"/>
      <c r="J1108" s="4"/>
      <c r="K1108" s="4"/>
      <c r="L1108" s="4"/>
      <c r="M1108" s="4"/>
      <c r="N1108" s="4"/>
      <c r="O1108" s="4"/>
      <c r="P1108" s="4"/>
      <c r="Q1108" s="4"/>
      <c r="R1108" s="4"/>
      <c r="S1108" s="4"/>
      <c r="T1108" s="4"/>
      <c r="U1108" s="4"/>
      <c r="V1108" s="4"/>
      <c r="W1108" s="4"/>
      <c r="X1108" s="4"/>
      <c r="Y1108" s="4"/>
      <c r="Z1108" s="4"/>
      <c r="AA1108" s="4"/>
      <c r="AB1108" s="5"/>
    </row>
    <row r="1109" spans="1:28" x14ac:dyDescent="0.35">
      <c r="A1109" s="3"/>
      <c r="B1109" s="4"/>
      <c r="C1109" s="4"/>
      <c r="D1109" s="4"/>
      <c r="E1109" s="4"/>
      <c r="F1109" s="4"/>
      <c r="G1109" s="4"/>
      <c r="H1109" s="4"/>
      <c r="I1109" s="4"/>
      <c r="J1109" s="4"/>
      <c r="K1109" s="4"/>
      <c r="L1109" s="4"/>
      <c r="M1109" s="4"/>
      <c r="N1109" s="4"/>
      <c r="O1109" s="4"/>
      <c r="P1109" s="4"/>
      <c r="Q1109" s="4"/>
      <c r="R1109" s="4"/>
      <c r="S1109" s="4"/>
      <c r="T1109" s="4"/>
      <c r="U1109" s="4"/>
      <c r="V1109" s="4"/>
      <c r="W1109" s="4"/>
      <c r="X1109" s="4"/>
      <c r="Y1109" s="4"/>
      <c r="Z1109" s="4"/>
      <c r="AA1109" s="4"/>
      <c r="AB1109" s="5"/>
    </row>
    <row r="1110" spans="1:28" x14ac:dyDescent="0.35">
      <c r="A1110" s="3"/>
      <c r="B1110" s="4"/>
      <c r="C1110" s="4"/>
      <c r="D1110" s="4"/>
      <c r="E1110" s="4"/>
      <c r="F1110" s="4"/>
      <c r="G1110" s="4"/>
      <c r="H1110" s="4"/>
      <c r="I1110" s="4"/>
      <c r="J1110" s="4"/>
      <c r="K1110" s="4"/>
      <c r="L1110" s="4"/>
      <c r="M1110" s="4"/>
      <c r="N1110" s="4"/>
      <c r="O1110" s="4"/>
      <c r="P1110" s="4"/>
      <c r="Q1110" s="4"/>
      <c r="R1110" s="4"/>
      <c r="S1110" s="4"/>
      <c r="T1110" s="4"/>
      <c r="U1110" s="4"/>
      <c r="V1110" s="4"/>
      <c r="W1110" s="4"/>
      <c r="X1110" s="4"/>
      <c r="Y1110" s="4"/>
      <c r="Z1110" s="4"/>
      <c r="AA1110" s="4"/>
      <c r="AB1110" s="5"/>
    </row>
    <row r="1111" spans="1:28" x14ac:dyDescent="0.35">
      <c r="A1111" s="3"/>
      <c r="B1111" s="4"/>
      <c r="C1111" s="4"/>
      <c r="D1111" s="4"/>
      <c r="E1111" s="4"/>
      <c r="F1111" s="4"/>
      <c r="G1111" s="4"/>
      <c r="H1111" s="4"/>
      <c r="I1111" s="4"/>
      <c r="J1111" s="4"/>
      <c r="K1111" s="4"/>
      <c r="L1111" s="4"/>
      <c r="M1111" s="4"/>
      <c r="N1111" s="4"/>
      <c r="O1111" s="4"/>
      <c r="P1111" s="4"/>
      <c r="Q1111" s="4"/>
      <c r="R1111" s="4"/>
      <c r="S1111" s="4"/>
      <c r="T1111" s="4"/>
      <c r="U1111" s="4"/>
      <c r="V1111" s="4"/>
      <c r="W1111" s="4"/>
      <c r="X1111" s="4"/>
      <c r="Y1111" s="4"/>
      <c r="Z1111" s="4"/>
      <c r="AA1111" s="4"/>
      <c r="AB1111" s="5"/>
    </row>
    <row r="1112" spans="1:28" x14ac:dyDescent="0.35">
      <c r="A1112" s="3"/>
      <c r="B1112" s="4"/>
      <c r="C1112" s="4"/>
      <c r="D1112" s="4"/>
      <c r="E1112" s="4"/>
      <c r="F1112" s="4"/>
      <c r="G1112" s="4"/>
      <c r="H1112" s="4"/>
      <c r="I1112" s="4"/>
      <c r="J1112" s="4"/>
      <c r="K1112" s="4"/>
      <c r="L1112" s="4"/>
      <c r="M1112" s="4"/>
      <c r="N1112" s="4"/>
      <c r="O1112" s="4"/>
      <c r="P1112" s="4"/>
      <c r="Q1112" s="4"/>
      <c r="R1112" s="4"/>
      <c r="S1112" s="4"/>
      <c r="T1112" s="4"/>
      <c r="U1112" s="4"/>
      <c r="V1112" s="4"/>
      <c r="W1112" s="4"/>
      <c r="X1112" s="4"/>
      <c r="Y1112" s="4"/>
      <c r="Z1112" s="4"/>
      <c r="AA1112" s="4"/>
      <c r="AB1112" s="5"/>
    </row>
    <row r="1113" spans="1:28" x14ac:dyDescent="0.35">
      <c r="A1113" s="3"/>
      <c r="B1113" s="4"/>
      <c r="C1113" s="4"/>
      <c r="D1113" s="4"/>
      <c r="E1113" s="4"/>
      <c r="F1113" s="4"/>
      <c r="G1113" s="4"/>
      <c r="H1113" s="4"/>
      <c r="I1113" s="4"/>
      <c r="J1113" s="4"/>
      <c r="K1113" s="4"/>
      <c r="L1113" s="4"/>
      <c r="M1113" s="4"/>
      <c r="N1113" s="4"/>
      <c r="O1113" s="4"/>
      <c r="P1113" s="4"/>
      <c r="Q1113" s="4"/>
      <c r="R1113" s="4"/>
      <c r="S1113" s="4"/>
      <c r="T1113" s="4"/>
      <c r="U1113" s="4"/>
      <c r="V1113" s="4"/>
      <c r="W1113" s="4"/>
      <c r="X1113" s="4"/>
      <c r="Y1113" s="4"/>
      <c r="Z1113" s="4"/>
      <c r="AA1113" s="4"/>
      <c r="AB1113" s="5"/>
    </row>
    <row r="1114" spans="1:28" x14ac:dyDescent="0.35">
      <c r="A1114" s="3"/>
      <c r="B1114" s="4"/>
      <c r="C1114" s="4"/>
      <c r="D1114" s="4"/>
      <c r="E1114" s="4"/>
      <c r="F1114" s="4"/>
      <c r="G1114" s="4"/>
      <c r="H1114" s="4"/>
      <c r="I1114" s="4"/>
      <c r="J1114" s="4"/>
      <c r="K1114" s="4"/>
      <c r="L1114" s="4"/>
      <c r="M1114" s="4"/>
      <c r="N1114" s="4"/>
      <c r="O1114" s="4"/>
      <c r="P1114" s="4"/>
      <c r="Q1114" s="4"/>
      <c r="R1114" s="4"/>
      <c r="S1114" s="4"/>
      <c r="T1114" s="4"/>
      <c r="U1114" s="4"/>
      <c r="V1114" s="4"/>
      <c r="W1114" s="4"/>
      <c r="X1114" s="4"/>
      <c r="Y1114" s="4"/>
      <c r="Z1114" s="4"/>
      <c r="AA1114" s="4"/>
      <c r="AB1114" s="5"/>
    </row>
    <row r="1115" spans="1:28" x14ac:dyDescent="0.35">
      <c r="A1115" s="3"/>
      <c r="B1115" s="4"/>
      <c r="C1115" s="4"/>
      <c r="D1115" s="4"/>
      <c r="E1115" s="4"/>
      <c r="F1115" s="4"/>
      <c r="G1115" s="4"/>
      <c r="H1115" s="4"/>
      <c r="I1115" s="4"/>
      <c r="J1115" s="4"/>
      <c r="K1115" s="4"/>
      <c r="L1115" s="4"/>
      <c r="M1115" s="4"/>
      <c r="N1115" s="4"/>
      <c r="O1115" s="4"/>
      <c r="P1115" s="4"/>
      <c r="Q1115" s="4"/>
      <c r="R1115" s="4"/>
      <c r="S1115" s="4"/>
      <c r="T1115" s="4"/>
      <c r="U1115" s="4"/>
      <c r="V1115" s="4"/>
      <c r="W1115" s="4"/>
      <c r="X1115" s="4"/>
      <c r="Y1115" s="4"/>
      <c r="Z1115" s="4"/>
      <c r="AA1115" s="4"/>
      <c r="AB1115" s="5"/>
    </row>
    <row r="1116" spans="1:28" x14ac:dyDescent="0.35">
      <c r="A1116" s="3"/>
      <c r="B1116" s="4"/>
      <c r="C1116" s="4"/>
      <c r="D1116" s="4"/>
      <c r="E1116" s="4"/>
      <c r="F1116" s="4"/>
      <c r="G1116" s="4"/>
      <c r="H1116" s="4"/>
      <c r="I1116" s="4"/>
      <c r="J1116" s="4"/>
      <c r="K1116" s="4"/>
      <c r="L1116" s="4"/>
      <c r="M1116" s="4"/>
      <c r="N1116" s="4"/>
      <c r="O1116" s="4"/>
      <c r="P1116" s="4"/>
      <c r="Q1116" s="4"/>
      <c r="R1116" s="4"/>
      <c r="S1116" s="4"/>
      <c r="T1116" s="4"/>
      <c r="U1116" s="4"/>
      <c r="V1116" s="4"/>
      <c r="W1116" s="4"/>
      <c r="X1116" s="4"/>
      <c r="Y1116" s="4"/>
      <c r="Z1116" s="4"/>
      <c r="AA1116" s="4"/>
      <c r="AB1116" s="5"/>
    </row>
    <row r="1117" spans="1:28" x14ac:dyDescent="0.35">
      <c r="A1117" s="3"/>
      <c r="B1117" s="4"/>
      <c r="C1117" s="4"/>
      <c r="D1117" s="4"/>
      <c r="E1117" s="4"/>
      <c r="F1117" s="4"/>
      <c r="G1117" s="4"/>
      <c r="H1117" s="4"/>
      <c r="I1117" s="4"/>
      <c r="J1117" s="4"/>
      <c r="K1117" s="4"/>
      <c r="L1117" s="4"/>
      <c r="M1117" s="4"/>
      <c r="N1117" s="4"/>
      <c r="O1117" s="4"/>
      <c r="P1117" s="4"/>
      <c r="Q1117" s="4"/>
      <c r="R1117" s="4"/>
      <c r="S1117" s="4"/>
      <c r="T1117" s="4"/>
      <c r="U1117" s="4"/>
      <c r="V1117" s="4"/>
      <c r="W1117" s="4"/>
      <c r="X1117" s="4"/>
      <c r="Y1117" s="4"/>
      <c r="Z1117" s="4"/>
      <c r="AA1117" s="4"/>
      <c r="AB1117" s="5"/>
    </row>
    <row r="1118" spans="1:28" x14ac:dyDescent="0.35">
      <c r="A1118" s="3"/>
      <c r="B1118" s="4"/>
      <c r="C1118" s="4"/>
      <c r="D1118" s="4"/>
      <c r="E1118" s="4"/>
      <c r="F1118" s="4"/>
      <c r="G1118" s="4"/>
      <c r="H1118" s="4"/>
      <c r="I1118" s="4"/>
      <c r="J1118" s="4"/>
      <c r="K1118" s="4"/>
      <c r="L1118" s="4"/>
      <c r="M1118" s="4"/>
      <c r="N1118" s="4"/>
      <c r="O1118" s="4"/>
      <c r="P1118" s="4"/>
      <c r="Q1118" s="4"/>
      <c r="R1118" s="4"/>
      <c r="S1118" s="4"/>
      <c r="T1118" s="4"/>
      <c r="U1118" s="4"/>
      <c r="V1118" s="4"/>
      <c r="W1118" s="4"/>
      <c r="X1118" s="4"/>
      <c r="Y1118" s="4"/>
      <c r="Z1118" s="4"/>
      <c r="AA1118" s="4"/>
      <c r="AB1118" s="5"/>
    </row>
    <row r="1119" spans="1:28" x14ac:dyDescent="0.35">
      <c r="A1119" s="3"/>
      <c r="B1119" s="4"/>
      <c r="C1119" s="4"/>
      <c r="D1119" s="4"/>
      <c r="E1119" s="4"/>
      <c r="F1119" s="4"/>
      <c r="G1119" s="4"/>
      <c r="H1119" s="4"/>
      <c r="I1119" s="4"/>
      <c r="J1119" s="4"/>
      <c r="K1119" s="4"/>
      <c r="L1119" s="4"/>
      <c r="M1119" s="4"/>
      <c r="N1119" s="4"/>
      <c r="O1119" s="4"/>
      <c r="P1119" s="4"/>
      <c r="Q1119" s="4"/>
      <c r="R1119" s="4"/>
      <c r="S1119" s="4"/>
      <c r="T1119" s="4"/>
      <c r="U1119" s="4"/>
      <c r="V1119" s="4"/>
      <c r="W1119" s="4"/>
      <c r="X1119" s="4"/>
      <c r="Y1119" s="4"/>
      <c r="Z1119" s="4"/>
      <c r="AA1119" s="4"/>
      <c r="AB1119" s="5"/>
    </row>
    <row r="1120" spans="1:28" x14ac:dyDescent="0.35">
      <c r="A1120" s="3"/>
      <c r="B1120" s="4"/>
      <c r="C1120" s="4"/>
      <c r="D1120" s="4"/>
      <c r="E1120" s="4"/>
      <c r="F1120" s="4"/>
      <c r="G1120" s="4"/>
      <c r="H1120" s="4"/>
      <c r="I1120" s="4"/>
      <c r="J1120" s="4"/>
      <c r="K1120" s="4"/>
      <c r="L1120" s="4"/>
      <c r="M1120" s="4"/>
      <c r="N1120" s="4"/>
      <c r="O1120" s="4"/>
      <c r="P1120" s="4"/>
      <c r="Q1120" s="4"/>
      <c r="R1120" s="4"/>
      <c r="S1120" s="4"/>
      <c r="T1120" s="4"/>
      <c r="U1120" s="4"/>
      <c r="V1120" s="4"/>
      <c r="W1120" s="4"/>
      <c r="X1120" s="4"/>
      <c r="Y1120" s="4"/>
      <c r="Z1120" s="4"/>
      <c r="AA1120" s="4"/>
      <c r="AB1120" s="5"/>
    </row>
    <row r="1121" spans="1:28" x14ac:dyDescent="0.35">
      <c r="A1121" s="3"/>
      <c r="B1121" s="4"/>
      <c r="C1121" s="4"/>
      <c r="D1121" s="4"/>
      <c r="E1121" s="4"/>
      <c r="F1121" s="4"/>
      <c r="G1121" s="4"/>
      <c r="H1121" s="4"/>
      <c r="I1121" s="4"/>
      <c r="J1121" s="4"/>
      <c r="K1121" s="4"/>
      <c r="L1121" s="4"/>
      <c r="M1121" s="4"/>
      <c r="N1121" s="4"/>
      <c r="O1121" s="4"/>
      <c r="P1121" s="4"/>
      <c r="Q1121" s="4"/>
      <c r="R1121" s="4"/>
      <c r="S1121" s="4"/>
      <c r="T1121" s="4"/>
      <c r="U1121" s="4"/>
      <c r="V1121" s="4"/>
      <c r="W1121" s="4"/>
      <c r="X1121" s="4"/>
      <c r="Y1121" s="4"/>
      <c r="Z1121" s="4"/>
      <c r="AA1121" s="4"/>
      <c r="AB1121" s="5"/>
    </row>
    <row r="1122" spans="1:28" x14ac:dyDescent="0.35">
      <c r="A1122" s="3"/>
      <c r="B1122" s="4"/>
      <c r="C1122" s="4"/>
      <c r="D1122" s="4"/>
      <c r="E1122" s="4"/>
      <c r="F1122" s="4"/>
      <c r="G1122" s="4"/>
      <c r="H1122" s="4"/>
      <c r="I1122" s="4"/>
      <c r="J1122" s="4"/>
      <c r="K1122" s="4"/>
      <c r="L1122" s="4"/>
      <c r="M1122" s="4"/>
      <c r="N1122" s="4"/>
      <c r="O1122" s="4"/>
      <c r="P1122" s="4"/>
      <c r="Q1122" s="4"/>
      <c r="R1122" s="4"/>
      <c r="S1122" s="4"/>
      <c r="T1122" s="4"/>
      <c r="U1122" s="4"/>
      <c r="V1122" s="4"/>
      <c r="W1122" s="4"/>
      <c r="X1122" s="4"/>
      <c r="Y1122" s="4"/>
      <c r="Z1122" s="4"/>
      <c r="AA1122" s="4"/>
      <c r="AB1122" s="5"/>
    </row>
    <row r="1123" spans="1:28" x14ac:dyDescent="0.35">
      <c r="A1123" s="3"/>
      <c r="B1123" s="4"/>
      <c r="C1123" s="4"/>
      <c r="D1123" s="4"/>
      <c r="E1123" s="4"/>
      <c r="F1123" s="4"/>
      <c r="G1123" s="4"/>
      <c r="H1123" s="4"/>
      <c r="I1123" s="4"/>
      <c r="J1123" s="4"/>
      <c r="K1123" s="4"/>
      <c r="L1123" s="4"/>
      <c r="M1123" s="4"/>
      <c r="N1123" s="4"/>
      <c r="O1123" s="4"/>
      <c r="P1123" s="4"/>
      <c r="Q1123" s="4"/>
      <c r="R1123" s="4"/>
      <c r="S1123" s="4"/>
      <c r="T1123" s="4"/>
      <c r="U1123" s="4"/>
      <c r="V1123" s="4"/>
      <c r="W1123" s="4"/>
      <c r="X1123" s="4"/>
      <c r="Y1123" s="4"/>
      <c r="Z1123" s="4"/>
      <c r="AA1123" s="4"/>
      <c r="AB1123" s="5"/>
    </row>
    <row r="1124" spans="1:28" x14ac:dyDescent="0.35">
      <c r="A1124" s="3"/>
      <c r="B1124" s="4"/>
      <c r="C1124" s="4"/>
      <c r="D1124" s="4"/>
      <c r="E1124" s="4"/>
      <c r="F1124" s="4"/>
      <c r="G1124" s="4"/>
      <c r="H1124" s="4"/>
      <c r="I1124" s="4"/>
      <c r="J1124" s="4"/>
      <c r="K1124" s="4"/>
      <c r="L1124" s="4"/>
      <c r="M1124" s="4"/>
      <c r="N1124" s="4"/>
      <c r="O1124" s="4"/>
      <c r="P1124" s="4"/>
      <c r="Q1124" s="4"/>
      <c r="R1124" s="4"/>
      <c r="S1124" s="4"/>
      <c r="T1124" s="4"/>
      <c r="U1124" s="4"/>
      <c r="V1124" s="4"/>
      <c r="W1124" s="4"/>
      <c r="X1124" s="4"/>
      <c r="Y1124" s="4"/>
      <c r="Z1124" s="4"/>
      <c r="AA1124" s="4"/>
      <c r="AB1124" s="5"/>
    </row>
    <row r="1125" spans="1:28" x14ac:dyDescent="0.35">
      <c r="A1125" s="3"/>
      <c r="B1125" s="4"/>
      <c r="C1125" s="4"/>
      <c r="D1125" s="4"/>
      <c r="E1125" s="4"/>
      <c r="F1125" s="4"/>
      <c r="G1125" s="4"/>
      <c r="H1125" s="4"/>
      <c r="I1125" s="4"/>
      <c r="J1125" s="4"/>
      <c r="K1125" s="4"/>
      <c r="L1125" s="4"/>
      <c r="M1125" s="4"/>
      <c r="N1125" s="4"/>
      <c r="O1125" s="4"/>
      <c r="P1125" s="4"/>
      <c r="Q1125" s="4"/>
      <c r="R1125" s="4"/>
      <c r="S1125" s="4"/>
      <c r="T1125" s="4"/>
      <c r="U1125" s="4"/>
      <c r="V1125" s="4"/>
      <c r="W1125" s="4"/>
      <c r="X1125" s="4"/>
      <c r="Y1125" s="4"/>
      <c r="Z1125" s="4"/>
      <c r="AA1125" s="4"/>
      <c r="AB1125" s="5"/>
    </row>
    <row r="1126" spans="1:28" x14ac:dyDescent="0.35">
      <c r="A1126" s="3"/>
      <c r="B1126" s="4"/>
      <c r="C1126" s="4"/>
      <c r="D1126" s="4"/>
      <c r="E1126" s="4"/>
      <c r="F1126" s="4"/>
      <c r="G1126" s="4"/>
      <c r="H1126" s="4"/>
      <c r="I1126" s="4"/>
      <c r="J1126" s="4"/>
      <c r="K1126" s="4"/>
      <c r="L1126" s="4"/>
      <c r="M1126" s="4"/>
      <c r="N1126" s="4"/>
      <c r="O1126" s="4"/>
      <c r="P1126" s="4"/>
      <c r="Q1126" s="4"/>
      <c r="R1126" s="4"/>
      <c r="S1126" s="4"/>
      <c r="T1126" s="4"/>
      <c r="U1126" s="4"/>
      <c r="V1126" s="4"/>
      <c r="W1126" s="4"/>
      <c r="X1126" s="4"/>
      <c r="Y1126" s="4"/>
      <c r="Z1126" s="4"/>
      <c r="AA1126" s="4"/>
      <c r="AB1126" s="5"/>
    </row>
    <row r="1127" spans="1:28" x14ac:dyDescent="0.35">
      <c r="A1127" s="3"/>
      <c r="B1127" s="4"/>
      <c r="C1127" s="4"/>
      <c r="D1127" s="4"/>
      <c r="E1127" s="4"/>
      <c r="F1127" s="4"/>
      <c r="G1127" s="4"/>
      <c r="H1127" s="4"/>
      <c r="I1127" s="4"/>
      <c r="J1127" s="4"/>
      <c r="K1127" s="4"/>
      <c r="L1127" s="4"/>
      <c r="M1127" s="4"/>
      <c r="N1127" s="4"/>
      <c r="O1127" s="4"/>
      <c r="P1127" s="4"/>
      <c r="Q1127" s="4"/>
      <c r="R1127" s="4"/>
      <c r="S1127" s="4"/>
      <c r="T1127" s="4"/>
      <c r="U1127" s="4"/>
      <c r="V1127" s="4"/>
      <c r="W1127" s="4"/>
      <c r="X1127" s="4"/>
      <c r="Y1127" s="4"/>
      <c r="Z1127" s="4"/>
      <c r="AA1127" s="4"/>
      <c r="AB1127" s="5"/>
    </row>
    <row r="1128" spans="1:28" x14ac:dyDescent="0.35">
      <c r="A1128" s="3"/>
      <c r="B1128" s="4"/>
      <c r="C1128" s="4"/>
      <c r="D1128" s="4"/>
      <c r="E1128" s="4"/>
      <c r="F1128" s="4"/>
      <c r="G1128" s="4"/>
      <c r="H1128" s="4"/>
      <c r="I1128" s="4"/>
      <c r="J1128" s="4"/>
      <c r="K1128" s="4"/>
      <c r="L1128" s="4"/>
      <c r="M1128" s="4"/>
      <c r="N1128" s="4"/>
      <c r="O1128" s="4"/>
      <c r="P1128" s="4"/>
      <c r="Q1128" s="4"/>
      <c r="R1128" s="4"/>
      <c r="S1128" s="4"/>
      <c r="T1128" s="4"/>
      <c r="U1128" s="4"/>
      <c r="V1128" s="4"/>
      <c r="W1128" s="4"/>
      <c r="X1128" s="4"/>
      <c r="Y1128" s="4"/>
      <c r="Z1128" s="4"/>
      <c r="AA1128" s="4"/>
      <c r="AB1128" s="5"/>
    </row>
    <row r="1129" spans="1:28" x14ac:dyDescent="0.35">
      <c r="A1129" s="3"/>
      <c r="B1129" s="4"/>
      <c r="C1129" s="4"/>
      <c r="D1129" s="4"/>
      <c r="E1129" s="4"/>
      <c r="F1129" s="4"/>
      <c r="G1129" s="4"/>
      <c r="H1129" s="4"/>
      <c r="I1129" s="4"/>
      <c r="J1129" s="4"/>
      <c r="K1129" s="4"/>
      <c r="L1129" s="4"/>
      <c r="M1129" s="4"/>
      <c r="N1129" s="4"/>
      <c r="O1129" s="4"/>
      <c r="P1129" s="4"/>
      <c r="Q1129" s="4"/>
      <c r="R1129" s="4"/>
      <c r="S1129" s="4"/>
      <c r="T1129" s="4"/>
      <c r="U1129" s="4"/>
      <c r="V1129" s="4"/>
      <c r="W1129" s="4"/>
      <c r="X1129" s="4"/>
      <c r="Y1129" s="4"/>
      <c r="Z1129" s="4"/>
      <c r="AA1129" s="4"/>
      <c r="AB1129" s="5"/>
    </row>
    <row r="1130" spans="1:28" x14ac:dyDescent="0.35">
      <c r="A1130" s="3"/>
      <c r="B1130" s="4"/>
      <c r="C1130" s="4"/>
      <c r="D1130" s="4"/>
      <c r="E1130" s="4"/>
      <c r="F1130" s="4"/>
      <c r="G1130" s="4"/>
      <c r="H1130" s="4"/>
      <c r="I1130" s="4"/>
      <c r="J1130" s="4"/>
      <c r="K1130" s="4"/>
      <c r="L1130" s="4"/>
      <c r="M1130" s="4"/>
      <c r="N1130" s="4"/>
      <c r="O1130" s="4"/>
      <c r="P1130" s="4"/>
      <c r="Q1130" s="4"/>
      <c r="R1130" s="4"/>
      <c r="S1130" s="4"/>
      <c r="T1130" s="4"/>
      <c r="U1130" s="4"/>
      <c r="V1130" s="4"/>
      <c r="W1130" s="4"/>
      <c r="X1130" s="4"/>
      <c r="Y1130" s="4"/>
      <c r="Z1130" s="4"/>
      <c r="AA1130" s="4"/>
      <c r="AB1130" s="5"/>
    </row>
    <row r="1131" spans="1:28" x14ac:dyDescent="0.35">
      <c r="A1131" s="3"/>
      <c r="B1131" s="4"/>
      <c r="C1131" s="4"/>
      <c r="D1131" s="4"/>
      <c r="E1131" s="4"/>
      <c r="F1131" s="4"/>
      <c r="G1131" s="4"/>
      <c r="H1131" s="4"/>
      <c r="I1131" s="4"/>
      <c r="J1131" s="4"/>
      <c r="K1131" s="4"/>
      <c r="L1131" s="4"/>
      <c r="M1131" s="4"/>
      <c r="N1131" s="4"/>
      <c r="O1131" s="4"/>
      <c r="P1131" s="4"/>
      <c r="Q1131" s="4"/>
      <c r="R1131" s="4"/>
      <c r="S1131" s="4"/>
      <c r="T1131" s="4"/>
      <c r="U1131" s="4"/>
      <c r="V1131" s="4"/>
      <c r="W1131" s="4"/>
      <c r="X1131" s="4"/>
      <c r="Y1131" s="4"/>
      <c r="Z1131" s="4"/>
      <c r="AA1131" s="4"/>
      <c r="AB1131" s="5"/>
    </row>
    <row r="1132" spans="1:28" x14ac:dyDescent="0.35">
      <c r="A1132" s="3"/>
      <c r="B1132" s="4"/>
      <c r="C1132" s="4"/>
      <c r="D1132" s="4"/>
      <c r="E1132" s="4"/>
      <c r="F1132" s="4"/>
      <c r="G1132" s="4"/>
      <c r="H1132" s="4"/>
      <c r="I1132" s="4"/>
      <c r="J1132" s="4"/>
      <c r="K1132" s="4"/>
      <c r="L1132" s="4"/>
      <c r="M1132" s="4"/>
      <c r="N1132" s="4"/>
      <c r="O1132" s="4"/>
      <c r="P1132" s="4"/>
      <c r="Q1132" s="4"/>
      <c r="R1132" s="4"/>
      <c r="S1132" s="4"/>
      <c r="T1132" s="4"/>
      <c r="U1132" s="4"/>
      <c r="V1132" s="4"/>
      <c r="W1132" s="4"/>
      <c r="X1132" s="4"/>
      <c r="Y1132" s="4"/>
      <c r="Z1132" s="4"/>
      <c r="AA1132" s="4"/>
      <c r="AB1132" s="5"/>
    </row>
    <row r="1133" spans="1:28" x14ac:dyDescent="0.35">
      <c r="A1133" s="3"/>
      <c r="B1133" s="4"/>
      <c r="C1133" s="4"/>
      <c r="D1133" s="4"/>
      <c r="E1133" s="4"/>
      <c r="F1133" s="4"/>
      <c r="G1133" s="4"/>
      <c r="H1133" s="4"/>
      <c r="I1133" s="4"/>
      <c r="J1133" s="4"/>
      <c r="K1133" s="4"/>
      <c r="L1133" s="4"/>
      <c r="M1133" s="4"/>
      <c r="N1133" s="4"/>
      <c r="O1133" s="4"/>
      <c r="P1133" s="4"/>
      <c r="Q1133" s="4"/>
      <c r="R1133" s="4"/>
      <c r="S1133" s="4"/>
      <c r="T1133" s="4"/>
      <c r="U1133" s="4"/>
      <c r="V1133" s="4"/>
      <c r="W1133" s="4"/>
      <c r="X1133" s="4"/>
      <c r="Y1133" s="4"/>
      <c r="Z1133" s="4"/>
      <c r="AA1133" s="4"/>
      <c r="AB1133" s="5"/>
    </row>
    <row r="1134" spans="1:28" x14ac:dyDescent="0.35">
      <c r="A1134" s="3"/>
      <c r="B1134" s="4"/>
      <c r="C1134" s="4"/>
      <c r="D1134" s="4"/>
      <c r="E1134" s="4"/>
      <c r="F1134" s="4"/>
      <c r="G1134" s="4"/>
      <c r="H1134" s="4"/>
      <c r="I1134" s="4"/>
      <c r="J1134" s="4"/>
      <c r="K1134" s="4"/>
      <c r="L1134" s="4"/>
      <c r="M1134" s="4"/>
      <c r="N1134" s="4"/>
      <c r="O1134" s="4"/>
      <c r="P1134" s="4"/>
      <c r="Q1134" s="4"/>
      <c r="R1134" s="4"/>
      <c r="S1134" s="4"/>
      <c r="T1134" s="4"/>
      <c r="U1134" s="4"/>
      <c r="V1134" s="4"/>
      <c r="W1134" s="4"/>
      <c r="X1134" s="4"/>
      <c r="Y1134" s="4"/>
      <c r="Z1134" s="4"/>
      <c r="AA1134" s="4"/>
      <c r="AB1134" s="5"/>
    </row>
    <row r="1135" spans="1:28" x14ac:dyDescent="0.35">
      <c r="A1135" s="3"/>
      <c r="B1135" s="4"/>
      <c r="C1135" s="4"/>
      <c r="D1135" s="4"/>
      <c r="E1135" s="4"/>
      <c r="F1135" s="4"/>
      <c r="G1135" s="4"/>
      <c r="H1135" s="4"/>
      <c r="I1135" s="4"/>
      <c r="J1135" s="4"/>
      <c r="K1135" s="4"/>
      <c r="L1135" s="4"/>
      <c r="M1135" s="4"/>
      <c r="N1135" s="4"/>
      <c r="O1135" s="4"/>
      <c r="P1135" s="4"/>
      <c r="Q1135" s="4"/>
      <c r="R1135" s="4"/>
      <c r="S1135" s="4"/>
      <c r="T1135" s="4"/>
      <c r="U1135" s="4"/>
      <c r="V1135" s="4"/>
      <c r="W1135" s="4"/>
      <c r="X1135" s="4"/>
      <c r="Y1135" s="4"/>
      <c r="Z1135" s="4"/>
      <c r="AA1135" s="4"/>
      <c r="AB1135" s="5"/>
    </row>
    <row r="1136" spans="1:28" x14ac:dyDescent="0.35">
      <c r="A1136" s="3"/>
      <c r="B1136" s="4"/>
      <c r="C1136" s="4"/>
      <c r="D1136" s="4"/>
      <c r="E1136" s="4"/>
      <c r="F1136" s="4"/>
      <c r="G1136" s="4"/>
      <c r="H1136" s="4"/>
      <c r="I1136" s="4"/>
      <c r="J1136" s="4"/>
      <c r="K1136" s="4"/>
      <c r="L1136" s="4"/>
      <c r="M1136" s="4"/>
      <c r="N1136" s="4"/>
      <c r="O1136" s="4"/>
      <c r="P1136" s="4"/>
      <c r="Q1136" s="4"/>
      <c r="R1136" s="4"/>
      <c r="S1136" s="4"/>
      <c r="T1136" s="4"/>
      <c r="U1136" s="4"/>
      <c r="V1136" s="4"/>
      <c r="W1136" s="4"/>
      <c r="X1136" s="4"/>
      <c r="Y1136" s="4"/>
      <c r="Z1136" s="4"/>
      <c r="AA1136" s="4"/>
      <c r="AB1136" s="5"/>
    </row>
    <row r="1137" spans="1:28" x14ac:dyDescent="0.35">
      <c r="A1137" s="3"/>
      <c r="B1137" s="4"/>
      <c r="C1137" s="4"/>
      <c r="D1137" s="4"/>
      <c r="E1137" s="4"/>
      <c r="F1137" s="4"/>
      <c r="G1137" s="4"/>
      <c r="H1137" s="4"/>
      <c r="I1137" s="4"/>
      <c r="J1137" s="4"/>
      <c r="K1137" s="4"/>
      <c r="L1137" s="4"/>
      <c r="M1137" s="4"/>
      <c r="N1137" s="4"/>
      <c r="O1137" s="4"/>
      <c r="P1137" s="4"/>
      <c r="Q1137" s="4"/>
      <c r="R1137" s="4"/>
      <c r="S1137" s="4"/>
      <c r="T1137" s="4"/>
      <c r="U1137" s="4"/>
      <c r="V1137" s="4"/>
      <c r="W1137" s="4"/>
      <c r="X1137" s="4"/>
      <c r="Y1137" s="4"/>
      <c r="Z1137" s="4"/>
      <c r="AA1137" s="4"/>
      <c r="AB1137" s="5"/>
    </row>
    <row r="1138" spans="1:28" x14ac:dyDescent="0.35">
      <c r="A1138" s="3"/>
      <c r="B1138" s="4"/>
      <c r="C1138" s="4"/>
      <c r="D1138" s="4"/>
      <c r="E1138" s="4"/>
      <c r="F1138" s="4"/>
      <c r="G1138" s="4"/>
      <c r="H1138" s="4"/>
      <c r="I1138" s="4"/>
      <c r="J1138" s="4"/>
      <c r="K1138" s="4"/>
      <c r="L1138" s="4"/>
      <c r="M1138" s="4"/>
      <c r="N1138" s="4"/>
      <c r="O1138" s="4"/>
      <c r="P1138" s="4"/>
      <c r="Q1138" s="4"/>
      <c r="R1138" s="4"/>
      <c r="S1138" s="4"/>
      <c r="T1138" s="4"/>
      <c r="U1138" s="4"/>
      <c r="V1138" s="4"/>
      <c r="W1138" s="4"/>
      <c r="X1138" s="4"/>
      <c r="Y1138" s="4"/>
      <c r="Z1138" s="4"/>
      <c r="AA1138" s="4"/>
      <c r="AB1138" s="5"/>
    </row>
    <row r="1139" spans="1:28" x14ac:dyDescent="0.35">
      <c r="A1139" s="3"/>
      <c r="B1139" s="4"/>
      <c r="C1139" s="4"/>
      <c r="D1139" s="4"/>
      <c r="E1139" s="4"/>
      <c r="F1139" s="4"/>
      <c r="G1139" s="4"/>
      <c r="H1139" s="4"/>
      <c r="I1139" s="4"/>
      <c r="J1139" s="4"/>
      <c r="K1139" s="4"/>
      <c r="L1139" s="4"/>
      <c r="M1139" s="4"/>
      <c r="N1139" s="4"/>
      <c r="O1139" s="4"/>
      <c r="P1139" s="4"/>
      <c r="Q1139" s="4"/>
      <c r="R1139" s="4"/>
      <c r="S1139" s="4"/>
      <c r="T1139" s="4"/>
      <c r="U1139" s="4"/>
      <c r="V1139" s="4"/>
      <c r="W1139" s="4"/>
      <c r="X1139" s="4"/>
      <c r="Y1139" s="4"/>
      <c r="Z1139" s="4"/>
      <c r="AA1139" s="4"/>
      <c r="AB1139" s="5"/>
    </row>
    <row r="1140" spans="1:28" x14ac:dyDescent="0.35">
      <c r="A1140" s="3"/>
      <c r="B1140" s="4"/>
      <c r="C1140" s="4"/>
      <c r="D1140" s="4"/>
      <c r="E1140" s="4"/>
      <c r="F1140" s="4"/>
      <c r="G1140" s="4"/>
      <c r="H1140" s="4"/>
      <c r="I1140" s="4"/>
      <c r="J1140" s="4"/>
      <c r="K1140" s="4"/>
      <c r="L1140" s="4"/>
      <c r="M1140" s="4"/>
      <c r="N1140" s="4"/>
      <c r="O1140" s="4"/>
      <c r="P1140" s="4"/>
      <c r="Q1140" s="4"/>
      <c r="R1140" s="4"/>
      <c r="S1140" s="4"/>
      <c r="T1140" s="4"/>
      <c r="U1140" s="4"/>
      <c r="V1140" s="4"/>
      <c r="W1140" s="4"/>
      <c r="X1140" s="4"/>
      <c r="Y1140" s="4"/>
      <c r="Z1140" s="4"/>
      <c r="AA1140" s="4"/>
      <c r="AB1140" s="5"/>
    </row>
    <row r="1141" spans="1:28" x14ac:dyDescent="0.35">
      <c r="A1141" s="3"/>
      <c r="B1141" s="4"/>
      <c r="C1141" s="4"/>
      <c r="D1141" s="4"/>
      <c r="E1141" s="4"/>
      <c r="F1141" s="4"/>
      <c r="G1141" s="4"/>
      <c r="H1141" s="4"/>
      <c r="I1141" s="4"/>
      <c r="J1141" s="4"/>
      <c r="K1141" s="4"/>
      <c r="L1141" s="4"/>
      <c r="M1141" s="4"/>
      <c r="N1141" s="4"/>
      <c r="O1141" s="4"/>
      <c r="P1141" s="4"/>
      <c r="Q1141" s="4"/>
      <c r="R1141" s="4"/>
      <c r="S1141" s="4"/>
      <c r="T1141" s="4"/>
      <c r="U1141" s="4"/>
      <c r="V1141" s="4"/>
      <c r="W1141" s="4"/>
      <c r="X1141" s="4"/>
      <c r="Y1141" s="4"/>
      <c r="Z1141" s="4"/>
      <c r="AA1141" s="4"/>
      <c r="AB1141" s="5"/>
    </row>
    <row r="1142" spans="1:28" x14ac:dyDescent="0.35">
      <c r="A1142" s="3"/>
      <c r="B1142" s="4"/>
      <c r="C1142" s="4"/>
      <c r="D1142" s="4"/>
      <c r="E1142" s="4"/>
      <c r="F1142" s="4"/>
      <c r="G1142" s="4"/>
      <c r="H1142" s="4"/>
      <c r="I1142" s="4"/>
      <c r="J1142" s="4"/>
      <c r="K1142" s="4"/>
      <c r="L1142" s="4"/>
      <c r="M1142" s="4"/>
      <c r="N1142" s="4"/>
      <c r="O1142" s="4"/>
      <c r="P1142" s="4"/>
      <c r="Q1142" s="4"/>
      <c r="R1142" s="4"/>
      <c r="S1142" s="4"/>
      <c r="T1142" s="4"/>
      <c r="U1142" s="4"/>
      <c r="V1142" s="4"/>
      <c r="W1142" s="4"/>
      <c r="X1142" s="4"/>
      <c r="Y1142" s="4"/>
      <c r="Z1142" s="4"/>
      <c r="AA1142" s="4"/>
      <c r="AB1142" s="5"/>
    </row>
    <row r="1143" spans="1:28" x14ac:dyDescent="0.35">
      <c r="A1143" s="3"/>
      <c r="B1143" s="4"/>
      <c r="C1143" s="4"/>
      <c r="D1143" s="4"/>
      <c r="E1143" s="4"/>
      <c r="F1143" s="4"/>
      <c r="G1143" s="4"/>
      <c r="H1143" s="4"/>
      <c r="I1143" s="4"/>
      <c r="J1143" s="4"/>
      <c r="K1143" s="4"/>
      <c r="L1143" s="4"/>
      <c r="M1143" s="4"/>
      <c r="N1143" s="4"/>
      <c r="O1143" s="4"/>
      <c r="P1143" s="4"/>
      <c r="Q1143" s="4"/>
      <c r="R1143" s="4"/>
      <c r="S1143" s="4"/>
      <c r="T1143" s="4"/>
      <c r="U1143" s="4"/>
      <c r="V1143" s="4"/>
      <c r="W1143" s="4"/>
      <c r="X1143" s="4"/>
      <c r="Y1143" s="4"/>
      <c r="Z1143" s="4"/>
      <c r="AA1143" s="4"/>
      <c r="AB1143" s="5"/>
    </row>
    <row r="1144" spans="1:28" x14ac:dyDescent="0.35">
      <c r="A1144" s="3"/>
      <c r="B1144" s="4"/>
      <c r="C1144" s="4"/>
      <c r="D1144" s="4"/>
      <c r="E1144" s="4"/>
      <c r="F1144" s="4"/>
      <c r="G1144" s="4"/>
      <c r="H1144" s="4"/>
      <c r="I1144" s="4"/>
      <c r="J1144" s="4"/>
      <c r="K1144" s="4"/>
      <c r="L1144" s="4"/>
      <c r="M1144" s="4"/>
      <c r="N1144" s="4"/>
      <c r="O1144" s="4"/>
      <c r="P1144" s="4"/>
      <c r="Q1144" s="4"/>
      <c r="R1144" s="4"/>
      <c r="S1144" s="4"/>
      <c r="T1144" s="4"/>
      <c r="U1144" s="4"/>
      <c r="V1144" s="4"/>
      <c r="W1144" s="4"/>
      <c r="X1144" s="4"/>
      <c r="Y1144" s="4"/>
      <c r="Z1144" s="4"/>
      <c r="AA1144" s="4"/>
      <c r="AB1144" s="5"/>
    </row>
    <row r="1145" spans="1:28" x14ac:dyDescent="0.35">
      <c r="A1145" s="3"/>
      <c r="B1145" s="4"/>
      <c r="C1145" s="4"/>
      <c r="D1145" s="4"/>
      <c r="E1145" s="4"/>
      <c r="F1145" s="4"/>
      <c r="G1145" s="4"/>
      <c r="H1145" s="4"/>
      <c r="I1145" s="4"/>
      <c r="J1145" s="4"/>
      <c r="K1145" s="4"/>
      <c r="L1145" s="4"/>
      <c r="M1145" s="4"/>
      <c r="N1145" s="4"/>
      <c r="O1145" s="4"/>
      <c r="P1145" s="4"/>
      <c r="Q1145" s="4"/>
      <c r="R1145" s="4"/>
      <c r="S1145" s="4"/>
      <c r="T1145" s="4"/>
      <c r="U1145" s="4"/>
      <c r="V1145" s="4"/>
      <c r="W1145" s="4"/>
      <c r="X1145" s="4"/>
      <c r="Y1145" s="4"/>
      <c r="Z1145" s="4"/>
      <c r="AA1145" s="4"/>
      <c r="AB1145" s="5"/>
    </row>
    <row r="1146" spans="1:28" x14ac:dyDescent="0.35">
      <c r="A1146" s="3"/>
      <c r="B1146" s="4"/>
      <c r="C1146" s="4"/>
      <c r="D1146" s="4"/>
      <c r="E1146" s="4"/>
      <c r="F1146" s="4"/>
      <c r="G1146" s="4"/>
      <c r="H1146" s="4"/>
      <c r="I1146" s="4"/>
      <c r="J1146" s="4"/>
      <c r="K1146" s="4"/>
      <c r="L1146" s="4"/>
      <c r="M1146" s="4"/>
      <c r="N1146" s="4"/>
      <c r="O1146" s="4"/>
      <c r="P1146" s="4"/>
      <c r="Q1146" s="4"/>
      <c r="R1146" s="4"/>
      <c r="S1146" s="4"/>
      <c r="T1146" s="4"/>
      <c r="U1146" s="4"/>
      <c r="V1146" s="4"/>
      <c r="W1146" s="4"/>
      <c r="X1146" s="4"/>
      <c r="Y1146" s="4"/>
      <c r="Z1146" s="4"/>
      <c r="AA1146" s="4"/>
      <c r="AB1146" s="5"/>
    </row>
    <row r="1147" spans="1:28" x14ac:dyDescent="0.35">
      <c r="A1147" s="3"/>
      <c r="B1147" s="4"/>
      <c r="C1147" s="4"/>
      <c r="D1147" s="4"/>
      <c r="E1147" s="4"/>
      <c r="F1147" s="4"/>
      <c r="G1147" s="4"/>
      <c r="H1147" s="4"/>
      <c r="I1147" s="4"/>
      <c r="J1147" s="4"/>
      <c r="K1147" s="4"/>
      <c r="L1147" s="4"/>
      <c r="M1147" s="4"/>
      <c r="N1147" s="4"/>
      <c r="O1147" s="4"/>
      <c r="P1147" s="4"/>
      <c r="Q1147" s="4"/>
      <c r="R1147" s="4"/>
      <c r="S1147" s="4"/>
      <c r="T1147" s="4"/>
      <c r="U1147" s="4"/>
      <c r="V1147" s="4"/>
      <c r="W1147" s="4"/>
      <c r="X1147" s="4"/>
      <c r="Y1147" s="4"/>
      <c r="Z1147" s="4"/>
      <c r="AA1147" s="4"/>
      <c r="AB1147" s="5"/>
    </row>
    <row r="1148" spans="1:28" x14ac:dyDescent="0.35">
      <c r="A1148" s="3"/>
      <c r="B1148" s="4"/>
      <c r="C1148" s="4"/>
      <c r="D1148" s="4"/>
      <c r="E1148" s="4"/>
      <c r="F1148" s="4"/>
      <c r="G1148" s="4"/>
      <c r="H1148" s="4"/>
      <c r="I1148" s="4"/>
      <c r="J1148" s="4"/>
      <c r="K1148" s="4"/>
      <c r="L1148" s="4"/>
      <c r="M1148" s="4"/>
      <c r="N1148" s="4"/>
      <c r="O1148" s="4"/>
      <c r="P1148" s="4"/>
      <c r="Q1148" s="4"/>
      <c r="R1148" s="4"/>
      <c r="S1148" s="4"/>
      <c r="T1148" s="4"/>
      <c r="U1148" s="4"/>
      <c r="V1148" s="4"/>
      <c r="W1148" s="4"/>
      <c r="X1148" s="4"/>
      <c r="Y1148" s="4"/>
      <c r="Z1148" s="4"/>
      <c r="AA1148" s="4"/>
      <c r="AB1148" s="5"/>
    </row>
    <row r="1149" spans="1:28" x14ac:dyDescent="0.35">
      <c r="A1149" s="3"/>
      <c r="B1149" s="4"/>
      <c r="C1149" s="4"/>
      <c r="D1149" s="4"/>
      <c r="E1149" s="4"/>
      <c r="F1149" s="4"/>
      <c r="G1149" s="4"/>
      <c r="H1149" s="4"/>
      <c r="I1149" s="4"/>
      <c r="J1149" s="4"/>
      <c r="K1149" s="4"/>
      <c r="L1149" s="4"/>
      <c r="M1149" s="4"/>
      <c r="N1149" s="4"/>
      <c r="O1149" s="4"/>
      <c r="P1149" s="4"/>
      <c r="Q1149" s="4"/>
      <c r="R1149" s="4"/>
      <c r="S1149" s="4"/>
      <c r="T1149" s="4"/>
      <c r="U1149" s="4"/>
      <c r="V1149" s="4"/>
      <c r="W1149" s="4"/>
      <c r="X1149" s="4"/>
      <c r="Y1149" s="4"/>
      <c r="Z1149" s="4"/>
      <c r="AA1149" s="4"/>
      <c r="AB1149" s="5"/>
    </row>
    <row r="1150" spans="1:28" x14ac:dyDescent="0.35">
      <c r="A1150" s="3"/>
      <c r="B1150" s="4"/>
      <c r="C1150" s="4"/>
      <c r="D1150" s="4"/>
      <c r="E1150" s="4"/>
      <c r="F1150" s="4"/>
      <c r="G1150" s="4"/>
      <c r="H1150" s="4"/>
      <c r="I1150" s="4"/>
      <c r="J1150" s="4"/>
      <c r="K1150" s="4"/>
      <c r="L1150" s="4"/>
      <c r="M1150" s="4"/>
      <c r="N1150" s="4"/>
      <c r="O1150" s="4"/>
      <c r="P1150" s="4"/>
      <c r="Q1150" s="4"/>
      <c r="R1150" s="4"/>
      <c r="S1150" s="4"/>
      <c r="T1150" s="4"/>
      <c r="U1150" s="4"/>
      <c r="V1150" s="4"/>
      <c r="W1150" s="4"/>
      <c r="X1150" s="4"/>
      <c r="Y1150" s="4"/>
      <c r="Z1150" s="4"/>
      <c r="AA1150" s="4"/>
      <c r="AB1150" s="5"/>
    </row>
    <row r="1151" spans="1:28" x14ac:dyDescent="0.35">
      <c r="A1151" s="3"/>
      <c r="B1151" s="4"/>
      <c r="C1151" s="4"/>
      <c r="D1151" s="4"/>
      <c r="E1151" s="4"/>
      <c r="F1151" s="4"/>
      <c r="G1151" s="4"/>
      <c r="H1151" s="4"/>
      <c r="I1151" s="4"/>
      <c r="J1151" s="4"/>
      <c r="K1151" s="4"/>
      <c r="L1151" s="4"/>
      <c r="M1151" s="4"/>
      <c r="N1151" s="4"/>
      <c r="O1151" s="4"/>
      <c r="P1151" s="4"/>
      <c r="Q1151" s="4"/>
      <c r="R1151" s="4"/>
      <c r="S1151" s="4"/>
      <c r="T1151" s="4"/>
      <c r="U1151" s="4"/>
      <c r="V1151" s="4"/>
      <c r="W1151" s="4"/>
      <c r="X1151" s="4"/>
      <c r="Y1151" s="4"/>
      <c r="Z1151" s="4"/>
      <c r="AA1151" s="4"/>
      <c r="AB1151" s="5"/>
    </row>
    <row r="1152" spans="1:28" x14ac:dyDescent="0.35">
      <c r="A1152" s="3"/>
      <c r="B1152" s="4"/>
      <c r="C1152" s="4"/>
      <c r="D1152" s="4"/>
      <c r="E1152" s="4"/>
      <c r="F1152" s="4"/>
      <c r="G1152" s="4"/>
      <c r="H1152" s="4"/>
      <c r="I1152" s="4"/>
      <c r="J1152" s="4"/>
      <c r="K1152" s="4"/>
      <c r="L1152" s="4"/>
      <c r="M1152" s="4"/>
      <c r="N1152" s="4"/>
      <c r="O1152" s="4"/>
      <c r="P1152" s="4"/>
      <c r="Q1152" s="4"/>
      <c r="R1152" s="4"/>
      <c r="S1152" s="4"/>
      <c r="T1152" s="4"/>
      <c r="U1152" s="4"/>
      <c r="V1152" s="4"/>
      <c r="W1152" s="4"/>
      <c r="X1152" s="4"/>
      <c r="Y1152" s="4"/>
      <c r="Z1152" s="4"/>
      <c r="AA1152" s="4"/>
      <c r="AB1152" s="5"/>
    </row>
    <row r="1153" spans="1:28" x14ac:dyDescent="0.35">
      <c r="A1153" s="3"/>
      <c r="B1153" s="4"/>
      <c r="C1153" s="4"/>
      <c r="D1153" s="4"/>
      <c r="E1153" s="4"/>
      <c r="F1153" s="4"/>
      <c r="G1153" s="4"/>
      <c r="H1153" s="4"/>
      <c r="I1153" s="4"/>
      <c r="J1153" s="4"/>
      <c r="K1153" s="4"/>
      <c r="L1153" s="4"/>
      <c r="M1153" s="4"/>
      <c r="N1153" s="4"/>
      <c r="O1153" s="4"/>
      <c r="P1153" s="4"/>
      <c r="Q1153" s="4"/>
      <c r="R1153" s="4"/>
      <c r="S1153" s="4"/>
      <c r="T1153" s="4"/>
      <c r="U1153" s="4"/>
      <c r="V1153" s="4"/>
      <c r="W1153" s="4"/>
      <c r="X1153" s="4"/>
      <c r="Y1153" s="4"/>
      <c r="Z1153" s="4"/>
      <c r="AA1153" s="4"/>
      <c r="AB1153" s="5"/>
    </row>
    <row r="1154" spans="1:28" x14ac:dyDescent="0.35">
      <c r="A1154" s="3"/>
      <c r="B1154" s="4"/>
      <c r="C1154" s="4"/>
      <c r="D1154" s="4"/>
      <c r="E1154" s="4"/>
      <c r="F1154" s="4"/>
      <c r="G1154" s="4"/>
      <c r="H1154" s="4"/>
      <c r="I1154" s="4"/>
      <c r="J1154" s="4"/>
      <c r="K1154" s="4"/>
      <c r="L1154" s="4"/>
      <c r="M1154" s="4"/>
      <c r="N1154" s="4"/>
      <c r="O1154" s="4"/>
      <c r="P1154" s="4"/>
      <c r="Q1154" s="4"/>
      <c r="R1154" s="4"/>
      <c r="S1154" s="4"/>
      <c r="T1154" s="4"/>
      <c r="U1154" s="4"/>
      <c r="V1154" s="4"/>
      <c r="W1154" s="4"/>
      <c r="X1154" s="4"/>
      <c r="Y1154" s="4"/>
      <c r="Z1154" s="4"/>
      <c r="AA1154" s="4"/>
      <c r="AB1154" s="5"/>
    </row>
    <row r="1155" spans="1:28" x14ac:dyDescent="0.35">
      <c r="A1155" s="3"/>
      <c r="B1155" s="4"/>
      <c r="C1155" s="4"/>
      <c r="D1155" s="4"/>
      <c r="E1155" s="4"/>
      <c r="F1155" s="4"/>
      <c r="G1155" s="4"/>
      <c r="H1155" s="4"/>
      <c r="I1155" s="4"/>
      <c r="J1155" s="4"/>
      <c r="K1155" s="4"/>
      <c r="L1155" s="4"/>
      <c r="M1155" s="4"/>
      <c r="N1155" s="4"/>
      <c r="O1155" s="4"/>
      <c r="P1155" s="4"/>
      <c r="Q1155" s="4"/>
      <c r="R1155" s="4"/>
      <c r="S1155" s="4"/>
      <c r="T1155" s="4"/>
      <c r="U1155" s="4"/>
      <c r="V1155" s="4"/>
      <c r="W1155" s="4"/>
      <c r="X1155" s="4"/>
      <c r="Y1155" s="4"/>
      <c r="Z1155" s="4"/>
      <c r="AA1155" s="4"/>
      <c r="AB1155" s="5"/>
    </row>
    <row r="1156" spans="1:28" x14ac:dyDescent="0.35">
      <c r="A1156" s="3"/>
      <c r="B1156" s="4"/>
      <c r="C1156" s="4"/>
      <c r="D1156" s="4"/>
      <c r="E1156" s="4"/>
      <c r="F1156" s="4"/>
      <c r="G1156" s="4"/>
      <c r="H1156" s="4"/>
      <c r="I1156" s="4"/>
      <c r="J1156" s="4"/>
      <c r="K1156" s="4"/>
      <c r="L1156" s="4"/>
      <c r="M1156" s="4"/>
      <c r="N1156" s="4"/>
      <c r="O1156" s="4"/>
      <c r="P1156" s="4"/>
      <c r="Q1156" s="4"/>
      <c r="R1156" s="4"/>
      <c r="S1156" s="4"/>
      <c r="T1156" s="4"/>
      <c r="U1156" s="4"/>
      <c r="V1156" s="4"/>
      <c r="W1156" s="4"/>
      <c r="X1156" s="4"/>
      <c r="Y1156" s="4"/>
      <c r="Z1156" s="4"/>
      <c r="AA1156" s="4"/>
      <c r="AB1156" s="5"/>
    </row>
    <row r="1157" spans="1:28" x14ac:dyDescent="0.35">
      <c r="A1157" s="3"/>
      <c r="B1157" s="4"/>
      <c r="C1157" s="4"/>
      <c r="D1157" s="4"/>
      <c r="E1157" s="4"/>
      <c r="F1157" s="4"/>
      <c r="G1157" s="4"/>
      <c r="H1157" s="4"/>
      <c r="I1157" s="4"/>
      <c r="J1157" s="4"/>
      <c r="K1157" s="4"/>
      <c r="L1157" s="4"/>
      <c r="M1157" s="4"/>
      <c r="N1157" s="4"/>
      <c r="O1157" s="4"/>
      <c r="P1157" s="4"/>
      <c r="Q1157" s="4"/>
      <c r="R1157" s="4"/>
      <c r="S1157" s="4"/>
      <c r="T1157" s="4"/>
      <c r="U1157" s="4"/>
      <c r="V1157" s="4"/>
      <c r="W1157" s="4"/>
      <c r="X1157" s="4"/>
      <c r="Y1157" s="4"/>
      <c r="Z1157" s="4"/>
      <c r="AA1157" s="4"/>
      <c r="AB1157" s="5"/>
    </row>
    <row r="1158" spans="1:28" x14ac:dyDescent="0.35">
      <c r="A1158" s="3"/>
      <c r="B1158" s="4"/>
      <c r="C1158" s="4"/>
      <c r="D1158" s="4"/>
      <c r="E1158" s="4"/>
      <c r="F1158" s="4"/>
      <c r="G1158" s="4"/>
      <c r="H1158" s="4"/>
      <c r="I1158" s="4"/>
      <c r="J1158" s="4"/>
      <c r="K1158" s="4"/>
      <c r="L1158" s="4"/>
      <c r="M1158" s="4"/>
      <c r="N1158" s="4"/>
      <c r="O1158" s="4"/>
      <c r="P1158" s="4"/>
      <c r="Q1158" s="4"/>
      <c r="R1158" s="4"/>
      <c r="S1158" s="4"/>
      <c r="T1158" s="4"/>
      <c r="U1158" s="4"/>
      <c r="V1158" s="4"/>
      <c r="W1158" s="4"/>
      <c r="X1158" s="4"/>
      <c r="Y1158" s="4"/>
      <c r="Z1158" s="4"/>
      <c r="AA1158" s="4"/>
      <c r="AB1158" s="5"/>
    </row>
    <row r="1159" spans="1:28" x14ac:dyDescent="0.35">
      <c r="A1159" s="3"/>
      <c r="B1159" s="4"/>
      <c r="C1159" s="4"/>
      <c r="D1159" s="4"/>
      <c r="E1159" s="4"/>
      <c r="F1159" s="4"/>
      <c r="G1159" s="4"/>
      <c r="H1159" s="4"/>
      <c r="I1159" s="4"/>
      <c r="J1159" s="4"/>
      <c r="K1159" s="4"/>
      <c r="L1159" s="4"/>
      <c r="M1159" s="4"/>
      <c r="N1159" s="4"/>
      <c r="O1159" s="4"/>
      <c r="P1159" s="4"/>
      <c r="Q1159" s="4"/>
      <c r="R1159" s="4"/>
      <c r="S1159" s="4"/>
      <c r="T1159" s="4"/>
      <c r="U1159" s="4"/>
      <c r="V1159" s="4"/>
      <c r="W1159" s="4"/>
      <c r="X1159" s="4"/>
      <c r="Y1159" s="4"/>
      <c r="Z1159" s="4"/>
      <c r="AA1159" s="4"/>
      <c r="AB1159" s="5"/>
    </row>
    <row r="1160" spans="1:28" x14ac:dyDescent="0.35">
      <c r="A1160" s="3"/>
      <c r="B1160" s="4"/>
      <c r="C1160" s="4"/>
      <c r="D1160" s="4"/>
      <c r="E1160" s="4"/>
      <c r="F1160" s="4"/>
      <c r="G1160" s="4"/>
      <c r="H1160" s="4"/>
      <c r="I1160" s="4"/>
      <c r="J1160" s="4"/>
      <c r="K1160" s="4"/>
      <c r="L1160" s="4"/>
      <c r="M1160" s="4"/>
      <c r="N1160" s="4"/>
      <c r="O1160" s="4"/>
      <c r="P1160" s="4"/>
      <c r="Q1160" s="4"/>
      <c r="R1160" s="4"/>
      <c r="S1160" s="4"/>
      <c r="T1160" s="4"/>
      <c r="U1160" s="4"/>
      <c r="V1160" s="4"/>
      <c r="W1160" s="4"/>
      <c r="X1160" s="4"/>
      <c r="Y1160" s="4"/>
      <c r="Z1160" s="4"/>
      <c r="AA1160" s="4"/>
      <c r="AB1160" s="5"/>
    </row>
    <row r="1161" spans="1:28" x14ac:dyDescent="0.35">
      <c r="A1161" s="3"/>
      <c r="B1161" s="4"/>
      <c r="C1161" s="4"/>
      <c r="D1161" s="4"/>
      <c r="E1161" s="4"/>
      <c r="F1161" s="4"/>
      <c r="G1161" s="4"/>
      <c r="H1161" s="4"/>
      <c r="I1161" s="4"/>
      <c r="J1161" s="4"/>
      <c r="K1161" s="4"/>
      <c r="L1161" s="4"/>
      <c r="M1161" s="4"/>
      <c r="N1161" s="4"/>
      <c r="O1161" s="4"/>
      <c r="P1161" s="4"/>
      <c r="Q1161" s="4"/>
      <c r="R1161" s="4"/>
      <c r="S1161" s="4"/>
      <c r="T1161" s="4"/>
      <c r="U1161" s="4"/>
      <c r="V1161" s="4"/>
      <c r="W1161" s="4"/>
      <c r="X1161" s="4"/>
      <c r="Y1161" s="4"/>
      <c r="Z1161" s="4"/>
      <c r="AA1161" s="4"/>
      <c r="AB1161" s="5"/>
    </row>
    <row r="1162" spans="1:28" x14ac:dyDescent="0.35">
      <c r="A1162" s="3"/>
      <c r="B1162" s="4"/>
      <c r="C1162" s="4"/>
      <c r="D1162" s="4"/>
      <c r="E1162" s="4"/>
      <c r="F1162" s="4"/>
      <c r="G1162" s="4"/>
      <c r="H1162" s="4"/>
      <c r="I1162" s="4"/>
      <c r="J1162" s="4"/>
      <c r="K1162" s="4"/>
      <c r="L1162" s="4"/>
      <c r="M1162" s="4"/>
      <c r="N1162" s="4"/>
      <c r="O1162" s="4"/>
      <c r="P1162" s="4"/>
      <c r="Q1162" s="4"/>
      <c r="R1162" s="4"/>
      <c r="S1162" s="4"/>
      <c r="T1162" s="4"/>
      <c r="U1162" s="4"/>
      <c r="V1162" s="4"/>
      <c r="W1162" s="4"/>
      <c r="X1162" s="4"/>
      <c r="Y1162" s="4"/>
      <c r="Z1162" s="4"/>
      <c r="AA1162" s="4"/>
      <c r="AB1162" s="5"/>
    </row>
    <row r="1163" spans="1:28" x14ac:dyDescent="0.35">
      <c r="A1163" s="3"/>
      <c r="B1163" s="4"/>
      <c r="C1163" s="4"/>
      <c r="D1163" s="4"/>
      <c r="E1163" s="4"/>
      <c r="F1163" s="4"/>
      <c r="G1163" s="4"/>
      <c r="H1163" s="4"/>
      <c r="I1163" s="4"/>
      <c r="J1163" s="4"/>
      <c r="K1163" s="4"/>
      <c r="L1163" s="4"/>
      <c r="M1163" s="4"/>
      <c r="N1163" s="4"/>
      <c r="O1163" s="4"/>
      <c r="P1163" s="4"/>
      <c r="Q1163" s="4"/>
      <c r="R1163" s="4"/>
      <c r="S1163" s="4"/>
      <c r="T1163" s="4"/>
      <c r="U1163" s="4"/>
      <c r="V1163" s="4"/>
      <c r="W1163" s="4"/>
      <c r="X1163" s="4"/>
      <c r="Y1163" s="4"/>
      <c r="Z1163" s="4"/>
      <c r="AA1163" s="4"/>
      <c r="AB1163" s="5"/>
    </row>
    <row r="1164" spans="1:28" x14ac:dyDescent="0.35">
      <c r="A1164" s="3"/>
      <c r="B1164" s="4"/>
      <c r="C1164" s="4"/>
      <c r="D1164" s="4"/>
      <c r="E1164" s="4"/>
      <c r="F1164" s="4"/>
      <c r="G1164" s="4"/>
      <c r="H1164" s="4"/>
      <c r="I1164" s="4"/>
      <c r="J1164" s="4"/>
      <c r="K1164" s="4"/>
      <c r="L1164" s="4"/>
      <c r="M1164" s="4"/>
      <c r="N1164" s="4"/>
      <c r="O1164" s="4"/>
      <c r="P1164" s="4"/>
      <c r="Q1164" s="4"/>
      <c r="R1164" s="4"/>
      <c r="S1164" s="4"/>
      <c r="T1164" s="4"/>
      <c r="U1164" s="4"/>
      <c r="V1164" s="4"/>
      <c r="W1164" s="4"/>
      <c r="X1164" s="4"/>
      <c r="Y1164" s="4"/>
      <c r="Z1164" s="4"/>
      <c r="AA1164" s="4"/>
      <c r="AB1164" s="5"/>
    </row>
    <row r="1165" spans="1:28" x14ac:dyDescent="0.35">
      <c r="A1165" s="3"/>
      <c r="B1165" s="4"/>
      <c r="C1165" s="4"/>
      <c r="D1165" s="4"/>
      <c r="E1165" s="4"/>
      <c r="F1165" s="4"/>
      <c r="G1165" s="4"/>
      <c r="H1165" s="4"/>
      <c r="I1165" s="4"/>
      <c r="J1165" s="4"/>
      <c r="K1165" s="4"/>
      <c r="L1165" s="4"/>
      <c r="M1165" s="4"/>
      <c r="N1165" s="4"/>
      <c r="O1165" s="4"/>
      <c r="P1165" s="4"/>
      <c r="Q1165" s="4"/>
      <c r="R1165" s="4"/>
      <c r="S1165" s="4"/>
      <c r="T1165" s="4"/>
      <c r="U1165" s="4"/>
      <c r="V1165" s="4"/>
      <c r="W1165" s="4"/>
      <c r="X1165" s="4"/>
      <c r="Y1165" s="4"/>
      <c r="Z1165" s="4"/>
      <c r="AA1165" s="4"/>
      <c r="AB1165" s="5"/>
    </row>
    <row r="1166" spans="1:28" x14ac:dyDescent="0.35">
      <c r="A1166" s="3"/>
      <c r="B1166" s="4"/>
      <c r="C1166" s="4"/>
      <c r="D1166" s="4"/>
      <c r="E1166" s="4"/>
      <c r="F1166" s="4"/>
      <c r="G1166" s="4"/>
      <c r="H1166" s="4"/>
      <c r="I1166" s="4"/>
      <c r="J1166" s="4"/>
      <c r="K1166" s="4"/>
      <c r="L1166" s="4"/>
      <c r="M1166" s="4"/>
      <c r="N1166" s="4"/>
      <c r="O1166" s="4"/>
      <c r="P1166" s="4"/>
      <c r="Q1166" s="4"/>
      <c r="R1166" s="4"/>
      <c r="S1166" s="4"/>
      <c r="T1166" s="4"/>
      <c r="U1166" s="4"/>
      <c r="V1166" s="4"/>
      <c r="W1166" s="4"/>
      <c r="X1166" s="4"/>
      <c r="Y1166" s="4"/>
      <c r="Z1166" s="4"/>
      <c r="AA1166" s="4"/>
      <c r="AB1166" s="5"/>
    </row>
    <row r="1167" spans="1:28" x14ac:dyDescent="0.35">
      <c r="A1167" s="3"/>
      <c r="B1167" s="4"/>
      <c r="C1167" s="4"/>
      <c r="D1167" s="4"/>
      <c r="E1167" s="4"/>
      <c r="F1167" s="4"/>
      <c r="G1167" s="4"/>
      <c r="H1167" s="4"/>
      <c r="I1167" s="4"/>
      <c r="J1167" s="4"/>
      <c r="K1167" s="4"/>
      <c r="L1167" s="4"/>
      <c r="M1167" s="4"/>
      <c r="N1167" s="4"/>
      <c r="O1167" s="4"/>
      <c r="P1167" s="4"/>
      <c r="Q1167" s="4"/>
      <c r="R1167" s="4"/>
      <c r="S1167" s="4"/>
      <c r="T1167" s="4"/>
      <c r="U1167" s="4"/>
      <c r="V1167" s="4"/>
      <c r="W1167" s="4"/>
      <c r="X1167" s="4"/>
      <c r="Y1167" s="4"/>
      <c r="Z1167" s="4"/>
      <c r="AA1167" s="4"/>
      <c r="AB1167" s="5"/>
    </row>
    <row r="1168" spans="1:28" x14ac:dyDescent="0.35">
      <c r="A1168" s="3"/>
      <c r="B1168" s="4"/>
      <c r="C1168" s="4"/>
      <c r="D1168" s="4"/>
      <c r="E1168" s="4"/>
      <c r="F1168" s="4"/>
      <c r="G1168" s="4"/>
      <c r="H1168" s="4"/>
      <c r="I1168" s="4"/>
      <c r="J1168" s="4"/>
      <c r="K1168" s="4"/>
      <c r="L1168" s="4"/>
      <c r="M1168" s="4"/>
      <c r="N1168" s="4"/>
      <c r="O1168" s="4"/>
      <c r="P1168" s="4"/>
      <c r="Q1168" s="4"/>
      <c r="R1168" s="4"/>
      <c r="S1168" s="4"/>
      <c r="T1168" s="4"/>
      <c r="U1168" s="4"/>
      <c r="V1168" s="4"/>
      <c r="W1168" s="4"/>
      <c r="X1168" s="4"/>
      <c r="Y1168" s="4"/>
      <c r="Z1168" s="4"/>
      <c r="AA1168" s="4"/>
      <c r="AB1168" s="5"/>
    </row>
    <row r="1169" spans="1:28" x14ac:dyDescent="0.35">
      <c r="A1169" s="3"/>
      <c r="B1169" s="4"/>
      <c r="C1169" s="4"/>
      <c r="D1169" s="4"/>
      <c r="E1169" s="4"/>
      <c r="F1169" s="4"/>
      <c r="G1169" s="4"/>
      <c r="H1169" s="4"/>
      <c r="I1169" s="4"/>
      <c r="J1169" s="4"/>
      <c r="K1169" s="4"/>
      <c r="L1169" s="4"/>
      <c r="M1169" s="4"/>
      <c r="N1169" s="4"/>
      <c r="O1169" s="4"/>
      <c r="P1169" s="4"/>
      <c r="Q1169" s="4"/>
      <c r="R1169" s="4"/>
      <c r="S1169" s="4"/>
      <c r="T1169" s="4"/>
      <c r="U1169" s="4"/>
      <c r="V1169" s="4"/>
      <c r="W1169" s="4"/>
      <c r="X1169" s="4"/>
      <c r="Y1169" s="4"/>
      <c r="Z1169" s="4"/>
      <c r="AA1169" s="4"/>
      <c r="AB1169" s="5"/>
    </row>
    <row r="1170" spans="1:28" x14ac:dyDescent="0.35">
      <c r="A1170" s="3"/>
      <c r="B1170" s="4"/>
      <c r="C1170" s="4"/>
      <c r="D1170" s="4"/>
      <c r="E1170" s="4"/>
      <c r="F1170" s="4"/>
      <c r="G1170" s="4"/>
      <c r="H1170" s="4"/>
      <c r="I1170" s="4"/>
      <c r="J1170" s="4"/>
      <c r="K1170" s="4"/>
      <c r="L1170" s="4"/>
      <c r="M1170" s="4"/>
      <c r="N1170" s="4"/>
      <c r="O1170" s="4"/>
      <c r="P1170" s="4"/>
      <c r="Q1170" s="4"/>
      <c r="R1170" s="4"/>
      <c r="S1170" s="4"/>
      <c r="T1170" s="4"/>
      <c r="U1170" s="4"/>
      <c r="V1170" s="4"/>
      <c r="W1170" s="4"/>
      <c r="X1170" s="4"/>
      <c r="Y1170" s="4"/>
      <c r="Z1170" s="4"/>
      <c r="AA1170" s="4"/>
      <c r="AB1170" s="5"/>
    </row>
    <row r="1171" spans="1:28" x14ac:dyDescent="0.35">
      <c r="A1171" s="3"/>
      <c r="B1171" s="4"/>
      <c r="C1171" s="4"/>
      <c r="D1171" s="4"/>
      <c r="E1171" s="4"/>
      <c r="F1171" s="4"/>
      <c r="G1171" s="4"/>
      <c r="H1171" s="4"/>
      <c r="I1171" s="4"/>
      <c r="J1171" s="4"/>
      <c r="K1171" s="4"/>
      <c r="L1171" s="4"/>
      <c r="M1171" s="4"/>
      <c r="N1171" s="4"/>
      <c r="O1171" s="4"/>
      <c r="P1171" s="4"/>
      <c r="Q1171" s="4"/>
      <c r="R1171" s="4"/>
      <c r="S1171" s="4"/>
      <c r="T1171" s="4"/>
      <c r="U1171" s="4"/>
      <c r="V1171" s="4"/>
      <c r="W1171" s="4"/>
      <c r="X1171" s="4"/>
      <c r="Y1171" s="4"/>
      <c r="Z1171" s="4"/>
      <c r="AA1171" s="4"/>
      <c r="AB1171" s="5"/>
    </row>
    <row r="1172" spans="1:28" x14ac:dyDescent="0.35">
      <c r="A1172" s="3"/>
      <c r="B1172" s="4"/>
      <c r="C1172" s="4"/>
      <c r="D1172" s="4"/>
      <c r="E1172" s="4"/>
      <c r="F1172" s="4"/>
      <c r="G1172" s="4"/>
      <c r="H1172" s="4"/>
      <c r="I1172" s="4"/>
      <c r="J1172" s="4"/>
      <c r="K1172" s="4"/>
      <c r="L1172" s="4"/>
      <c r="M1172" s="4"/>
      <c r="N1172" s="4"/>
      <c r="O1172" s="4"/>
      <c r="P1172" s="4"/>
      <c r="Q1172" s="4"/>
      <c r="R1172" s="4"/>
      <c r="S1172" s="4"/>
      <c r="T1172" s="4"/>
      <c r="U1172" s="4"/>
      <c r="V1172" s="4"/>
      <c r="W1172" s="4"/>
      <c r="X1172" s="4"/>
      <c r="Y1172" s="4"/>
      <c r="Z1172" s="4"/>
      <c r="AA1172" s="4"/>
      <c r="AB1172" s="5"/>
    </row>
    <row r="1173" spans="1:28" x14ac:dyDescent="0.35">
      <c r="A1173" s="3"/>
      <c r="B1173" s="4"/>
      <c r="C1173" s="4"/>
      <c r="D1173" s="4"/>
      <c r="E1173" s="4"/>
      <c r="F1173" s="4"/>
      <c r="G1173" s="4"/>
      <c r="H1173" s="4"/>
      <c r="I1173" s="4"/>
      <c r="J1173" s="4"/>
      <c r="K1173" s="4"/>
      <c r="L1173" s="4"/>
      <c r="M1173" s="4"/>
      <c r="N1173" s="4"/>
      <c r="O1173" s="4"/>
      <c r="P1173" s="4"/>
      <c r="Q1173" s="4"/>
      <c r="R1173" s="4"/>
      <c r="S1173" s="4"/>
      <c r="T1173" s="4"/>
      <c r="U1173" s="4"/>
      <c r="V1173" s="4"/>
      <c r="W1173" s="4"/>
      <c r="X1173" s="4"/>
      <c r="Y1173" s="4"/>
      <c r="Z1173" s="4"/>
      <c r="AA1173" s="4"/>
      <c r="AB1173" s="5"/>
    </row>
    <row r="1174" spans="1:28" x14ac:dyDescent="0.35">
      <c r="A1174" s="3"/>
      <c r="B1174" s="4"/>
      <c r="C1174" s="4"/>
      <c r="D1174" s="4"/>
      <c r="E1174" s="4"/>
      <c r="F1174" s="4"/>
      <c r="G1174" s="4"/>
      <c r="H1174" s="4"/>
      <c r="I1174" s="4"/>
      <c r="J1174" s="4"/>
      <c r="K1174" s="4"/>
      <c r="L1174" s="4"/>
      <c r="M1174" s="4"/>
      <c r="N1174" s="4"/>
      <c r="O1174" s="4"/>
      <c r="P1174" s="4"/>
      <c r="Q1174" s="4"/>
      <c r="R1174" s="4"/>
      <c r="S1174" s="4"/>
      <c r="T1174" s="4"/>
      <c r="U1174" s="4"/>
      <c r="V1174" s="4"/>
      <c r="W1174" s="4"/>
      <c r="X1174" s="4"/>
      <c r="Y1174" s="4"/>
      <c r="Z1174" s="4"/>
      <c r="AA1174" s="4"/>
      <c r="AB1174" s="5"/>
    </row>
    <row r="1175" spans="1:28" x14ac:dyDescent="0.35">
      <c r="A1175" s="3"/>
      <c r="B1175" s="4"/>
      <c r="C1175" s="4"/>
      <c r="D1175" s="4"/>
      <c r="E1175" s="4"/>
      <c r="F1175" s="4"/>
      <c r="G1175" s="4"/>
      <c r="H1175" s="4"/>
      <c r="I1175" s="4"/>
      <c r="J1175" s="4"/>
      <c r="K1175" s="4"/>
      <c r="L1175" s="4"/>
      <c r="M1175" s="4"/>
      <c r="N1175" s="4"/>
      <c r="O1175" s="4"/>
      <c r="P1175" s="4"/>
      <c r="Q1175" s="4"/>
      <c r="R1175" s="4"/>
      <c r="S1175" s="4"/>
      <c r="T1175" s="4"/>
      <c r="U1175" s="4"/>
      <c r="V1175" s="4"/>
      <c r="W1175" s="4"/>
      <c r="X1175" s="4"/>
      <c r="Y1175" s="4"/>
      <c r="Z1175" s="4"/>
      <c r="AA1175" s="4"/>
      <c r="AB1175" s="5"/>
    </row>
    <row r="1176" spans="1:28" x14ac:dyDescent="0.35">
      <c r="A1176" s="3"/>
      <c r="B1176" s="4"/>
      <c r="C1176" s="4"/>
      <c r="D1176" s="4"/>
      <c r="E1176" s="4"/>
      <c r="F1176" s="4"/>
      <c r="G1176" s="4"/>
      <c r="H1176" s="4"/>
      <c r="I1176" s="4"/>
      <c r="J1176" s="4"/>
      <c r="K1176" s="4"/>
      <c r="L1176" s="4"/>
      <c r="M1176" s="4"/>
      <c r="N1176" s="4"/>
      <c r="O1176" s="4"/>
      <c r="P1176" s="4"/>
      <c r="Q1176" s="4"/>
      <c r="R1176" s="4"/>
      <c r="S1176" s="4"/>
      <c r="T1176" s="4"/>
      <c r="U1176" s="4"/>
      <c r="V1176" s="4"/>
      <c r="W1176" s="4"/>
      <c r="X1176" s="4"/>
      <c r="Y1176" s="4"/>
      <c r="Z1176" s="4"/>
      <c r="AA1176" s="4"/>
      <c r="AB1176" s="5"/>
    </row>
    <row r="1177" spans="1:28" x14ac:dyDescent="0.35">
      <c r="A1177" s="3"/>
      <c r="B1177" s="4"/>
      <c r="C1177" s="4"/>
      <c r="D1177" s="4"/>
      <c r="E1177" s="4"/>
      <c r="F1177" s="4"/>
      <c r="G1177" s="4"/>
      <c r="H1177" s="4"/>
      <c r="I1177" s="4"/>
      <c r="J1177" s="4"/>
      <c r="K1177" s="4"/>
      <c r="L1177" s="4"/>
      <c r="M1177" s="4"/>
      <c r="N1177" s="4"/>
      <c r="O1177" s="4"/>
      <c r="P1177" s="4"/>
      <c r="Q1177" s="4"/>
      <c r="R1177" s="4"/>
      <c r="S1177" s="4"/>
      <c r="T1177" s="4"/>
      <c r="U1177" s="4"/>
      <c r="V1177" s="4"/>
      <c r="W1177" s="4"/>
      <c r="X1177" s="4"/>
      <c r="Y1177" s="4"/>
      <c r="Z1177" s="4"/>
      <c r="AA1177" s="4"/>
      <c r="AB1177" s="5"/>
    </row>
    <row r="1178" spans="1:28" x14ac:dyDescent="0.35">
      <c r="A1178" s="3"/>
      <c r="B1178" s="4"/>
      <c r="C1178" s="4"/>
      <c r="D1178" s="4"/>
      <c r="E1178" s="4"/>
      <c r="F1178" s="4"/>
      <c r="G1178" s="4"/>
      <c r="H1178" s="4"/>
      <c r="I1178" s="4"/>
      <c r="J1178" s="4"/>
      <c r="K1178" s="4"/>
      <c r="L1178" s="4"/>
      <c r="M1178" s="4"/>
      <c r="N1178" s="4"/>
      <c r="O1178" s="4"/>
      <c r="P1178" s="4"/>
      <c r="Q1178" s="4"/>
      <c r="R1178" s="4"/>
      <c r="S1178" s="4"/>
      <c r="T1178" s="4"/>
      <c r="U1178" s="4"/>
      <c r="V1178" s="4"/>
      <c r="W1178" s="4"/>
      <c r="X1178" s="4"/>
      <c r="Y1178" s="4"/>
      <c r="Z1178" s="4"/>
      <c r="AA1178" s="4"/>
      <c r="AB1178" s="5"/>
    </row>
    <row r="1179" spans="1:28" x14ac:dyDescent="0.35">
      <c r="A1179" s="3"/>
      <c r="B1179" s="4"/>
      <c r="C1179" s="4"/>
      <c r="D1179" s="4"/>
      <c r="E1179" s="4"/>
      <c r="F1179" s="4"/>
      <c r="G1179" s="4"/>
      <c r="H1179" s="4"/>
      <c r="I1179" s="4"/>
      <c r="J1179" s="4"/>
      <c r="K1179" s="4"/>
      <c r="L1179" s="4"/>
      <c r="M1179" s="4"/>
      <c r="N1179" s="4"/>
      <c r="O1179" s="4"/>
      <c r="P1179" s="4"/>
      <c r="Q1179" s="4"/>
      <c r="R1179" s="4"/>
      <c r="S1179" s="4"/>
      <c r="T1179" s="4"/>
      <c r="U1179" s="4"/>
      <c r="V1179" s="4"/>
      <c r="W1179" s="4"/>
      <c r="X1179" s="4"/>
      <c r="Y1179" s="4"/>
      <c r="Z1179" s="4"/>
      <c r="AA1179" s="4"/>
      <c r="AB1179" s="5"/>
    </row>
    <row r="1180" spans="1:28" x14ac:dyDescent="0.35">
      <c r="A1180" s="3"/>
      <c r="B1180" s="4"/>
      <c r="C1180" s="4"/>
      <c r="D1180" s="4"/>
      <c r="E1180" s="4"/>
      <c r="F1180" s="4"/>
      <c r="G1180" s="4"/>
      <c r="H1180" s="4"/>
      <c r="I1180" s="4"/>
      <c r="J1180" s="4"/>
      <c r="K1180" s="4"/>
      <c r="L1180" s="4"/>
      <c r="M1180" s="4"/>
      <c r="N1180" s="4"/>
      <c r="O1180" s="4"/>
      <c r="P1180" s="4"/>
      <c r="Q1180" s="4"/>
      <c r="R1180" s="4"/>
      <c r="S1180" s="4"/>
      <c r="T1180" s="4"/>
      <c r="U1180" s="4"/>
      <c r="V1180" s="4"/>
      <c r="W1180" s="4"/>
      <c r="X1180" s="4"/>
      <c r="Y1180" s="4"/>
      <c r="Z1180" s="4"/>
      <c r="AA1180" s="4"/>
      <c r="AB1180" s="5"/>
    </row>
    <row r="1181" spans="1:28" x14ac:dyDescent="0.35">
      <c r="A1181" s="3"/>
      <c r="B1181" s="4"/>
      <c r="C1181" s="4"/>
      <c r="D1181" s="4"/>
      <c r="E1181" s="4"/>
      <c r="F1181" s="4"/>
      <c r="G1181" s="4"/>
      <c r="H1181" s="4"/>
      <c r="I1181" s="4"/>
      <c r="J1181" s="4"/>
      <c r="K1181" s="4"/>
      <c r="L1181" s="4"/>
      <c r="M1181" s="4"/>
      <c r="N1181" s="4"/>
      <c r="O1181" s="4"/>
      <c r="P1181" s="4"/>
      <c r="Q1181" s="4"/>
      <c r="R1181" s="4"/>
      <c r="S1181" s="4"/>
      <c r="T1181" s="4"/>
      <c r="U1181" s="4"/>
      <c r="V1181" s="4"/>
      <c r="W1181" s="4"/>
      <c r="X1181" s="4"/>
      <c r="Y1181" s="4"/>
      <c r="Z1181" s="4"/>
      <c r="AA1181" s="4"/>
      <c r="AB1181" s="5"/>
    </row>
    <row r="1182" spans="1:28" x14ac:dyDescent="0.35">
      <c r="A1182" s="3"/>
      <c r="B1182" s="4"/>
      <c r="C1182" s="4"/>
      <c r="D1182" s="4"/>
      <c r="E1182" s="4"/>
      <c r="F1182" s="4"/>
      <c r="G1182" s="4"/>
      <c r="H1182" s="4"/>
      <c r="I1182" s="4"/>
      <c r="J1182" s="4"/>
      <c r="K1182" s="4"/>
      <c r="L1182" s="4"/>
      <c r="M1182" s="4"/>
      <c r="N1182" s="4"/>
      <c r="O1182" s="4"/>
      <c r="P1182" s="4"/>
      <c r="Q1182" s="4"/>
      <c r="R1182" s="4"/>
      <c r="S1182" s="4"/>
      <c r="T1182" s="4"/>
      <c r="U1182" s="4"/>
      <c r="V1182" s="4"/>
      <c r="W1182" s="4"/>
      <c r="X1182" s="4"/>
      <c r="Y1182" s="4"/>
      <c r="Z1182" s="4"/>
      <c r="AA1182" s="4"/>
      <c r="AB1182" s="5"/>
    </row>
    <row r="1183" spans="1:28" x14ac:dyDescent="0.35">
      <c r="A1183" s="3"/>
      <c r="B1183" s="4"/>
      <c r="C1183" s="4"/>
      <c r="D1183" s="4"/>
      <c r="E1183" s="4"/>
      <c r="F1183" s="4"/>
      <c r="G1183" s="4"/>
      <c r="H1183" s="4"/>
      <c r="I1183" s="4"/>
      <c r="J1183" s="4"/>
      <c r="K1183" s="4"/>
      <c r="L1183" s="4"/>
      <c r="M1183" s="4"/>
      <c r="N1183" s="4"/>
      <c r="O1183" s="4"/>
      <c r="P1183" s="4"/>
      <c r="Q1183" s="4"/>
      <c r="R1183" s="4"/>
      <c r="S1183" s="4"/>
      <c r="T1183" s="4"/>
      <c r="U1183" s="4"/>
      <c r="V1183" s="4"/>
      <c r="W1183" s="4"/>
      <c r="X1183" s="4"/>
      <c r="Y1183" s="4"/>
      <c r="Z1183" s="4"/>
      <c r="AA1183" s="4"/>
      <c r="AB1183" s="5"/>
    </row>
    <row r="1184" spans="1:28" x14ac:dyDescent="0.35">
      <c r="A1184" s="3"/>
      <c r="B1184" s="4"/>
      <c r="C1184" s="4"/>
      <c r="D1184" s="4"/>
      <c r="E1184" s="4"/>
      <c r="F1184" s="4"/>
      <c r="G1184" s="4"/>
      <c r="H1184" s="4"/>
      <c r="I1184" s="4"/>
      <c r="J1184" s="4"/>
      <c r="K1184" s="4"/>
      <c r="L1184" s="4"/>
      <c r="M1184" s="4"/>
      <c r="N1184" s="4"/>
      <c r="O1184" s="4"/>
      <c r="P1184" s="4"/>
      <c r="Q1184" s="4"/>
      <c r="R1184" s="4"/>
      <c r="S1184" s="4"/>
      <c r="T1184" s="4"/>
      <c r="U1184" s="4"/>
      <c r="V1184" s="4"/>
      <c r="W1184" s="4"/>
      <c r="X1184" s="4"/>
      <c r="Y1184" s="4"/>
      <c r="Z1184" s="4"/>
      <c r="AA1184" s="4"/>
      <c r="AB1184" s="5"/>
    </row>
    <row r="1185" spans="1:28" x14ac:dyDescent="0.35">
      <c r="A1185" s="3"/>
      <c r="B1185" s="4"/>
      <c r="C1185" s="4"/>
      <c r="D1185" s="4"/>
      <c r="E1185" s="4"/>
      <c r="F1185" s="4"/>
      <c r="G1185" s="4"/>
      <c r="H1185" s="4"/>
      <c r="I1185" s="4"/>
      <c r="J1185" s="4"/>
      <c r="K1185" s="4"/>
      <c r="L1185" s="4"/>
      <c r="M1185" s="4"/>
      <c r="N1185" s="4"/>
      <c r="O1185" s="4"/>
      <c r="P1185" s="4"/>
      <c r="Q1185" s="4"/>
      <c r="R1185" s="4"/>
      <c r="S1185" s="4"/>
      <c r="T1185" s="4"/>
      <c r="U1185" s="4"/>
      <c r="V1185" s="4"/>
      <c r="W1185" s="4"/>
      <c r="X1185" s="4"/>
      <c r="Y1185" s="4"/>
      <c r="Z1185" s="4"/>
      <c r="AA1185" s="4"/>
      <c r="AB1185" s="5"/>
    </row>
    <row r="1186" spans="1:28" x14ac:dyDescent="0.35">
      <c r="A1186" s="3"/>
      <c r="B1186" s="4"/>
      <c r="C1186" s="4"/>
      <c r="D1186" s="4"/>
      <c r="E1186" s="4"/>
      <c r="F1186" s="4"/>
      <c r="G1186" s="4"/>
      <c r="H1186" s="4"/>
      <c r="I1186" s="4"/>
      <c r="J1186" s="4"/>
      <c r="K1186" s="4"/>
      <c r="L1186" s="4"/>
      <c r="M1186" s="4"/>
      <c r="N1186" s="4"/>
      <c r="O1186" s="4"/>
      <c r="P1186" s="4"/>
      <c r="Q1186" s="4"/>
      <c r="R1186" s="4"/>
      <c r="S1186" s="4"/>
      <c r="T1186" s="4"/>
      <c r="U1186" s="4"/>
      <c r="V1186" s="4"/>
      <c r="W1186" s="4"/>
      <c r="X1186" s="4"/>
      <c r="Y1186" s="4"/>
      <c r="Z1186" s="4"/>
      <c r="AA1186" s="4"/>
      <c r="AB1186" s="5"/>
    </row>
    <row r="1187" spans="1:28" x14ac:dyDescent="0.35">
      <c r="A1187" s="3"/>
      <c r="B1187" s="4"/>
      <c r="C1187" s="4"/>
      <c r="D1187" s="4"/>
      <c r="E1187" s="4"/>
      <c r="F1187" s="4"/>
      <c r="G1187" s="4"/>
      <c r="H1187" s="4"/>
      <c r="I1187" s="4"/>
      <c r="J1187" s="4"/>
      <c r="K1187" s="4"/>
      <c r="L1187" s="4"/>
      <c r="M1187" s="4"/>
      <c r="N1187" s="4"/>
      <c r="O1187" s="4"/>
      <c r="P1187" s="4"/>
      <c r="Q1187" s="4"/>
      <c r="R1187" s="4"/>
      <c r="S1187" s="4"/>
      <c r="T1187" s="4"/>
      <c r="U1187" s="4"/>
      <c r="V1187" s="4"/>
      <c r="W1187" s="4"/>
      <c r="X1187" s="4"/>
      <c r="Y1187" s="4"/>
      <c r="Z1187" s="4"/>
      <c r="AA1187" s="4"/>
      <c r="AB1187" s="5"/>
    </row>
    <row r="1188" spans="1:28" x14ac:dyDescent="0.35">
      <c r="A1188" s="3"/>
      <c r="B1188" s="4"/>
      <c r="C1188" s="4"/>
      <c r="D1188" s="4"/>
      <c r="E1188" s="4"/>
      <c r="F1188" s="4"/>
      <c r="G1188" s="4"/>
      <c r="H1188" s="4"/>
      <c r="I1188" s="4"/>
      <c r="J1188" s="4"/>
      <c r="K1188" s="4"/>
      <c r="L1188" s="4"/>
      <c r="M1188" s="4"/>
      <c r="N1188" s="4"/>
      <c r="O1188" s="4"/>
      <c r="P1188" s="4"/>
      <c r="Q1188" s="4"/>
      <c r="R1188" s="4"/>
      <c r="S1188" s="4"/>
      <c r="T1188" s="4"/>
      <c r="U1188" s="4"/>
      <c r="V1188" s="4"/>
      <c r="W1188" s="4"/>
      <c r="X1188" s="4"/>
      <c r="Y1188" s="4"/>
      <c r="Z1188" s="4"/>
      <c r="AA1188" s="4"/>
      <c r="AB1188" s="5"/>
    </row>
    <row r="1189" spans="1:28" x14ac:dyDescent="0.35">
      <c r="A1189" s="3"/>
      <c r="B1189" s="4"/>
      <c r="C1189" s="4"/>
      <c r="D1189" s="4"/>
      <c r="E1189" s="4"/>
      <c r="F1189" s="4"/>
      <c r="G1189" s="4"/>
      <c r="H1189" s="4"/>
      <c r="I1189" s="4"/>
      <c r="J1189" s="4"/>
      <c r="K1189" s="4"/>
      <c r="L1189" s="4"/>
      <c r="M1189" s="4"/>
      <c r="N1189" s="4"/>
      <c r="O1189" s="4"/>
      <c r="P1189" s="4"/>
      <c r="Q1189" s="4"/>
      <c r="R1189" s="4"/>
      <c r="S1189" s="4"/>
      <c r="T1189" s="4"/>
      <c r="U1189" s="4"/>
      <c r="V1189" s="4"/>
      <c r="W1189" s="4"/>
      <c r="X1189" s="4"/>
      <c r="Y1189" s="4"/>
      <c r="Z1189" s="4"/>
      <c r="AA1189" s="4"/>
      <c r="AB1189" s="5"/>
    </row>
    <row r="1190" spans="1:28" x14ac:dyDescent="0.35">
      <c r="A1190" s="3"/>
      <c r="B1190" s="4"/>
      <c r="C1190" s="4"/>
      <c r="D1190" s="4"/>
      <c r="E1190" s="4"/>
      <c r="F1190" s="4"/>
      <c r="G1190" s="4"/>
      <c r="H1190" s="4"/>
      <c r="I1190" s="4"/>
      <c r="J1190" s="4"/>
      <c r="K1190" s="4"/>
      <c r="L1190" s="4"/>
      <c r="M1190" s="4"/>
      <c r="N1190" s="4"/>
      <c r="O1190" s="4"/>
      <c r="P1190" s="4"/>
      <c r="Q1190" s="4"/>
      <c r="R1190" s="4"/>
      <c r="S1190" s="4"/>
      <c r="T1190" s="4"/>
      <c r="U1190" s="4"/>
      <c r="V1190" s="4"/>
      <c r="W1190" s="4"/>
      <c r="X1190" s="4"/>
      <c r="Y1190" s="4"/>
      <c r="Z1190" s="4"/>
      <c r="AA1190" s="4"/>
      <c r="AB1190" s="5"/>
    </row>
    <row r="1191" spans="1:28" x14ac:dyDescent="0.35">
      <c r="A1191" s="3"/>
      <c r="B1191" s="4"/>
      <c r="C1191" s="4"/>
      <c r="D1191" s="4"/>
      <c r="E1191" s="4"/>
      <c r="F1191" s="4"/>
      <c r="G1191" s="4"/>
      <c r="H1191" s="4"/>
      <c r="I1191" s="4"/>
      <c r="J1191" s="4"/>
      <c r="K1191" s="4"/>
      <c r="L1191" s="4"/>
      <c r="M1191" s="4"/>
      <c r="N1191" s="4"/>
      <c r="O1191" s="4"/>
      <c r="P1191" s="4"/>
      <c r="Q1191" s="4"/>
      <c r="R1191" s="4"/>
      <c r="S1191" s="4"/>
      <c r="T1191" s="4"/>
      <c r="U1191" s="4"/>
      <c r="V1191" s="4"/>
      <c r="W1191" s="4"/>
      <c r="X1191" s="4"/>
      <c r="Y1191" s="4"/>
      <c r="Z1191" s="4"/>
      <c r="AA1191" s="4"/>
      <c r="AB1191" s="5"/>
    </row>
    <row r="1192" spans="1:28" x14ac:dyDescent="0.35">
      <c r="A1192" s="3"/>
      <c r="B1192" s="4"/>
      <c r="C1192" s="4"/>
      <c r="D1192" s="4"/>
      <c r="E1192" s="4"/>
      <c r="F1192" s="4"/>
      <c r="G1192" s="4"/>
      <c r="H1192" s="4"/>
      <c r="I1192" s="4"/>
      <c r="J1192" s="4"/>
      <c r="K1192" s="4"/>
      <c r="L1192" s="4"/>
      <c r="M1192" s="4"/>
      <c r="N1192" s="4"/>
      <c r="O1192" s="4"/>
      <c r="P1192" s="4"/>
      <c r="Q1192" s="4"/>
      <c r="R1192" s="4"/>
      <c r="S1192" s="4"/>
      <c r="T1192" s="4"/>
      <c r="U1192" s="4"/>
      <c r="V1192" s="4"/>
      <c r="W1192" s="4"/>
      <c r="X1192" s="4"/>
      <c r="Y1192" s="4"/>
      <c r="Z1192" s="4"/>
      <c r="AA1192" s="4"/>
      <c r="AB1192" s="5"/>
    </row>
    <row r="1193" spans="1:28" x14ac:dyDescent="0.35">
      <c r="A1193" s="3"/>
      <c r="B1193" s="4"/>
      <c r="C1193" s="4"/>
      <c r="D1193" s="4"/>
      <c r="E1193" s="4"/>
      <c r="F1193" s="4"/>
      <c r="G1193" s="4"/>
      <c r="H1193" s="4"/>
      <c r="I1193" s="4"/>
      <c r="J1193" s="4"/>
      <c r="K1193" s="4"/>
      <c r="L1193" s="4"/>
      <c r="M1193" s="4"/>
      <c r="N1193" s="4"/>
      <c r="O1193" s="4"/>
      <c r="P1193" s="4"/>
      <c r="Q1193" s="4"/>
      <c r="R1193" s="4"/>
      <c r="S1193" s="4"/>
      <c r="T1193" s="4"/>
      <c r="U1193" s="4"/>
      <c r="V1193" s="4"/>
      <c r="W1193" s="4"/>
      <c r="X1193" s="4"/>
      <c r="Y1193" s="4"/>
      <c r="Z1193" s="4"/>
      <c r="AA1193" s="4"/>
      <c r="AB1193" s="5"/>
    </row>
    <row r="1194" spans="1:28" x14ac:dyDescent="0.35">
      <c r="A1194" s="3"/>
      <c r="B1194" s="4"/>
      <c r="C1194" s="4"/>
      <c r="D1194" s="4"/>
      <c r="E1194" s="4"/>
      <c r="F1194" s="4"/>
      <c r="G1194" s="4"/>
      <c r="H1194" s="4"/>
      <c r="I1194" s="4"/>
      <c r="J1194" s="4"/>
      <c r="K1194" s="4"/>
      <c r="L1194" s="4"/>
      <c r="M1194" s="4"/>
      <c r="N1194" s="4"/>
      <c r="O1194" s="4"/>
      <c r="P1194" s="4"/>
      <c r="Q1194" s="4"/>
      <c r="R1194" s="4"/>
      <c r="S1194" s="4"/>
      <c r="T1194" s="4"/>
      <c r="U1194" s="4"/>
      <c r="V1194" s="4"/>
      <c r="W1194" s="4"/>
      <c r="X1194" s="4"/>
      <c r="Y1194" s="4"/>
      <c r="Z1194" s="4"/>
      <c r="AA1194" s="4"/>
      <c r="AB1194" s="5"/>
    </row>
    <row r="1195" spans="1:28" x14ac:dyDescent="0.35">
      <c r="A1195" s="3"/>
      <c r="B1195" s="4"/>
      <c r="C1195" s="4"/>
      <c r="D1195" s="4"/>
      <c r="E1195" s="4"/>
      <c r="F1195" s="4"/>
      <c r="G1195" s="4"/>
      <c r="H1195" s="4"/>
      <c r="I1195" s="4"/>
      <c r="J1195" s="4"/>
      <c r="K1195" s="4"/>
      <c r="L1195" s="4"/>
      <c r="M1195" s="4"/>
      <c r="N1195" s="4"/>
      <c r="O1195" s="4"/>
      <c r="P1195" s="4"/>
      <c r="Q1195" s="4"/>
      <c r="R1195" s="4"/>
      <c r="S1195" s="4"/>
      <c r="T1195" s="4"/>
      <c r="U1195" s="4"/>
      <c r="V1195" s="4"/>
      <c r="W1195" s="4"/>
      <c r="X1195" s="4"/>
      <c r="Y1195" s="4"/>
      <c r="Z1195" s="4"/>
      <c r="AA1195" s="4"/>
      <c r="AB1195" s="5"/>
    </row>
    <row r="1196" spans="1:28" x14ac:dyDescent="0.35">
      <c r="A1196" s="3"/>
      <c r="B1196" s="4"/>
      <c r="C1196" s="4"/>
      <c r="D1196" s="4"/>
      <c r="E1196" s="4"/>
      <c r="F1196" s="4"/>
      <c r="G1196" s="4"/>
      <c r="H1196" s="4"/>
      <c r="I1196" s="4"/>
      <c r="J1196" s="4"/>
      <c r="K1196" s="4"/>
      <c r="L1196" s="4"/>
      <c r="M1196" s="4"/>
      <c r="N1196" s="4"/>
      <c r="O1196" s="4"/>
      <c r="P1196" s="4"/>
      <c r="Q1196" s="4"/>
      <c r="R1196" s="4"/>
      <c r="S1196" s="4"/>
      <c r="T1196" s="4"/>
      <c r="U1196" s="4"/>
      <c r="V1196" s="4"/>
      <c r="W1196" s="4"/>
      <c r="X1196" s="4"/>
      <c r="Y1196" s="4"/>
      <c r="Z1196" s="4"/>
      <c r="AA1196" s="4"/>
      <c r="AB1196" s="5"/>
    </row>
    <row r="1197" spans="1:28" x14ac:dyDescent="0.35">
      <c r="A1197" s="3"/>
      <c r="B1197" s="4"/>
      <c r="C1197" s="4"/>
      <c r="D1197" s="4"/>
      <c r="E1197" s="4"/>
      <c r="F1197" s="4"/>
      <c r="G1197" s="4"/>
      <c r="H1197" s="4"/>
      <c r="I1197" s="4"/>
      <c r="J1197" s="4"/>
      <c r="K1197" s="4"/>
      <c r="L1197" s="4"/>
      <c r="M1197" s="4"/>
      <c r="N1197" s="4"/>
      <c r="O1197" s="4"/>
      <c r="P1197" s="4"/>
      <c r="Q1197" s="4"/>
      <c r="R1197" s="4"/>
      <c r="S1197" s="4"/>
      <c r="T1197" s="4"/>
      <c r="U1197" s="4"/>
      <c r="V1197" s="4"/>
      <c r="W1197" s="4"/>
      <c r="X1197" s="4"/>
      <c r="Y1197" s="4"/>
      <c r="Z1197" s="4"/>
      <c r="AA1197" s="4"/>
      <c r="AB1197" s="5"/>
    </row>
    <row r="1198" spans="1:28" x14ac:dyDescent="0.35">
      <c r="A1198" s="3"/>
      <c r="B1198" s="4"/>
      <c r="C1198" s="4"/>
      <c r="D1198" s="4"/>
      <c r="E1198" s="4"/>
      <c r="F1198" s="4"/>
      <c r="G1198" s="4"/>
      <c r="H1198" s="4"/>
      <c r="I1198" s="4"/>
      <c r="J1198" s="4"/>
      <c r="K1198" s="4"/>
      <c r="L1198" s="4"/>
      <c r="M1198" s="4"/>
      <c r="N1198" s="4"/>
      <c r="O1198" s="4"/>
      <c r="P1198" s="4"/>
      <c r="Q1198" s="4"/>
      <c r="R1198" s="4"/>
      <c r="S1198" s="4"/>
      <c r="T1198" s="4"/>
      <c r="U1198" s="4"/>
      <c r="V1198" s="4"/>
      <c r="W1198" s="4"/>
      <c r="X1198" s="4"/>
      <c r="Y1198" s="4"/>
      <c r="Z1198" s="4"/>
      <c r="AA1198" s="4"/>
      <c r="AB1198" s="5"/>
    </row>
    <row r="1199" spans="1:28" x14ac:dyDescent="0.35">
      <c r="A1199" s="3"/>
      <c r="B1199" s="4"/>
      <c r="C1199" s="4"/>
      <c r="D1199" s="4"/>
      <c r="E1199" s="4"/>
      <c r="F1199" s="4"/>
      <c r="G1199" s="4"/>
      <c r="H1199" s="4"/>
      <c r="I1199" s="4"/>
      <c r="J1199" s="4"/>
      <c r="K1199" s="4"/>
      <c r="L1199" s="4"/>
      <c r="M1199" s="4"/>
      <c r="N1199" s="4"/>
      <c r="O1199" s="4"/>
      <c r="P1199" s="4"/>
      <c r="Q1199" s="4"/>
      <c r="R1199" s="4"/>
      <c r="S1199" s="4"/>
      <c r="T1199" s="4"/>
      <c r="U1199" s="4"/>
      <c r="V1199" s="4"/>
      <c r="W1199" s="4"/>
      <c r="X1199" s="4"/>
      <c r="Y1199" s="4"/>
      <c r="Z1199" s="4"/>
      <c r="AA1199" s="4"/>
      <c r="AB1199" s="5"/>
    </row>
    <row r="1200" spans="1:28" x14ac:dyDescent="0.35">
      <c r="A1200" s="3"/>
      <c r="B1200" s="4"/>
      <c r="C1200" s="4"/>
      <c r="D1200" s="4"/>
      <c r="E1200" s="4"/>
      <c r="F1200" s="4"/>
      <c r="G1200" s="4"/>
      <c r="H1200" s="4"/>
      <c r="I1200" s="4"/>
      <c r="J1200" s="4"/>
      <c r="K1200" s="4"/>
      <c r="L1200" s="4"/>
      <c r="M1200" s="4"/>
      <c r="N1200" s="4"/>
      <c r="O1200" s="4"/>
      <c r="P1200" s="4"/>
      <c r="Q1200" s="4"/>
      <c r="R1200" s="4"/>
      <c r="S1200" s="4"/>
      <c r="T1200" s="4"/>
      <c r="U1200" s="4"/>
      <c r="V1200" s="4"/>
      <c r="W1200" s="4"/>
      <c r="X1200" s="4"/>
      <c r="Y1200" s="4"/>
      <c r="Z1200" s="4"/>
      <c r="AA1200" s="4"/>
      <c r="AB1200" s="5"/>
    </row>
    <row r="1201" spans="1:28" x14ac:dyDescent="0.35">
      <c r="A1201" s="3"/>
      <c r="B1201" s="4"/>
      <c r="C1201" s="4"/>
      <c r="D1201" s="4"/>
      <c r="E1201" s="4"/>
      <c r="F1201" s="4"/>
      <c r="G1201" s="4"/>
      <c r="H1201" s="4"/>
      <c r="I1201" s="4"/>
      <c r="J1201" s="4"/>
      <c r="K1201" s="4"/>
      <c r="L1201" s="4"/>
      <c r="M1201" s="4"/>
      <c r="N1201" s="4"/>
      <c r="O1201" s="4"/>
      <c r="P1201" s="4"/>
      <c r="Q1201" s="4"/>
      <c r="R1201" s="4"/>
      <c r="S1201" s="4"/>
      <c r="T1201" s="4"/>
      <c r="U1201" s="4"/>
      <c r="V1201" s="4"/>
      <c r="W1201" s="4"/>
      <c r="X1201" s="4"/>
      <c r="Y1201" s="4"/>
      <c r="Z1201" s="4"/>
      <c r="AA1201" s="4"/>
      <c r="AB1201" s="5"/>
    </row>
    <row r="1202" spans="1:28" x14ac:dyDescent="0.35">
      <c r="A1202" s="3"/>
      <c r="B1202" s="4"/>
      <c r="C1202" s="4"/>
      <c r="D1202" s="4"/>
      <c r="E1202" s="4"/>
      <c r="F1202" s="4"/>
      <c r="G1202" s="4"/>
      <c r="H1202" s="4"/>
      <c r="I1202" s="4"/>
      <c r="J1202" s="4"/>
      <c r="K1202" s="4"/>
      <c r="L1202" s="4"/>
      <c r="M1202" s="4"/>
      <c r="N1202" s="4"/>
      <c r="O1202" s="4"/>
      <c r="P1202" s="4"/>
      <c r="Q1202" s="4"/>
      <c r="R1202" s="4"/>
      <c r="S1202" s="4"/>
      <c r="T1202" s="4"/>
      <c r="U1202" s="4"/>
      <c r="V1202" s="4"/>
      <c r="W1202" s="4"/>
      <c r="X1202" s="4"/>
      <c r="Y1202" s="4"/>
      <c r="Z1202" s="4"/>
      <c r="AA1202" s="4"/>
      <c r="AB1202" s="5"/>
    </row>
    <row r="1203" spans="1:28" x14ac:dyDescent="0.35">
      <c r="A1203" s="3"/>
      <c r="B1203" s="4"/>
      <c r="C1203" s="4"/>
      <c r="D1203" s="4"/>
      <c r="E1203" s="4"/>
      <c r="F1203" s="4"/>
      <c r="G1203" s="4"/>
      <c r="H1203" s="4"/>
      <c r="I1203" s="4"/>
      <c r="J1203" s="4"/>
      <c r="K1203" s="4"/>
      <c r="L1203" s="4"/>
      <c r="M1203" s="4"/>
      <c r="N1203" s="4"/>
      <c r="O1203" s="4"/>
      <c r="P1203" s="4"/>
      <c r="Q1203" s="4"/>
      <c r="R1203" s="4"/>
      <c r="S1203" s="4"/>
      <c r="T1203" s="4"/>
      <c r="U1203" s="4"/>
      <c r="V1203" s="4"/>
      <c r="W1203" s="4"/>
      <c r="X1203" s="4"/>
      <c r="Y1203" s="4"/>
      <c r="Z1203" s="4"/>
      <c r="AA1203" s="4"/>
      <c r="AB1203" s="5"/>
    </row>
    <row r="1204" spans="1:28" x14ac:dyDescent="0.35">
      <c r="A1204" s="3"/>
      <c r="B1204" s="4"/>
      <c r="C1204" s="4"/>
      <c r="D1204" s="4"/>
      <c r="E1204" s="4"/>
      <c r="F1204" s="4"/>
      <c r="G1204" s="4"/>
      <c r="H1204" s="4"/>
      <c r="I1204" s="4"/>
      <c r="J1204" s="4"/>
      <c r="K1204" s="4"/>
      <c r="L1204" s="4"/>
      <c r="M1204" s="4"/>
      <c r="N1204" s="4"/>
      <c r="O1204" s="4"/>
      <c r="P1204" s="4"/>
      <c r="Q1204" s="4"/>
      <c r="R1204" s="4"/>
      <c r="S1204" s="4"/>
      <c r="T1204" s="4"/>
      <c r="U1204" s="4"/>
      <c r="V1204" s="4"/>
      <c r="W1204" s="4"/>
      <c r="X1204" s="4"/>
      <c r="Y1204" s="4"/>
      <c r="Z1204" s="4"/>
      <c r="AA1204" s="4"/>
      <c r="AB1204" s="5"/>
    </row>
    <row r="1205" spans="1:28" x14ac:dyDescent="0.35">
      <c r="A1205" s="3"/>
      <c r="B1205" s="4"/>
      <c r="C1205" s="4"/>
      <c r="D1205" s="4"/>
      <c r="E1205" s="4"/>
      <c r="F1205" s="4"/>
      <c r="G1205" s="4"/>
      <c r="H1205" s="4"/>
      <c r="I1205" s="4"/>
      <c r="J1205" s="4"/>
      <c r="K1205" s="4"/>
      <c r="L1205" s="4"/>
      <c r="M1205" s="4"/>
      <c r="N1205" s="4"/>
      <c r="O1205" s="4"/>
      <c r="P1205" s="4"/>
      <c r="Q1205" s="4"/>
      <c r="R1205" s="4"/>
      <c r="S1205" s="4"/>
      <c r="T1205" s="4"/>
      <c r="U1205" s="4"/>
      <c r="V1205" s="4"/>
      <c r="W1205" s="4"/>
      <c r="X1205" s="4"/>
      <c r="Y1205" s="4"/>
      <c r="Z1205" s="4"/>
      <c r="AA1205" s="4"/>
      <c r="AB1205" s="5"/>
    </row>
    <row r="1206" spans="1:28" x14ac:dyDescent="0.35">
      <c r="A1206" s="3"/>
      <c r="B1206" s="4"/>
      <c r="C1206" s="4"/>
      <c r="D1206" s="4"/>
      <c r="E1206" s="4"/>
      <c r="F1206" s="4"/>
      <c r="G1206" s="4"/>
      <c r="H1206" s="4"/>
      <c r="I1206" s="4"/>
      <c r="J1206" s="4"/>
      <c r="K1206" s="4"/>
      <c r="L1206" s="4"/>
      <c r="M1206" s="4"/>
      <c r="N1206" s="4"/>
      <c r="O1206" s="4"/>
      <c r="P1206" s="4"/>
      <c r="Q1206" s="4"/>
      <c r="R1206" s="4"/>
      <c r="S1206" s="4"/>
      <c r="T1206" s="4"/>
      <c r="U1206" s="4"/>
      <c r="V1206" s="4"/>
      <c r="W1206" s="4"/>
      <c r="X1206" s="4"/>
      <c r="Y1206" s="4"/>
      <c r="Z1206" s="4"/>
      <c r="AA1206" s="4"/>
      <c r="AB1206" s="5"/>
    </row>
    <row r="1207" spans="1:28" x14ac:dyDescent="0.35">
      <c r="A1207" s="3"/>
      <c r="B1207" s="4"/>
      <c r="C1207" s="4"/>
      <c r="D1207" s="4"/>
      <c r="E1207" s="4"/>
      <c r="F1207" s="4"/>
      <c r="G1207" s="4"/>
      <c r="H1207" s="4"/>
      <c r="I1207" s="4"/>
      <c r="J1207" s="4"/>
      <c r="K1207" s="4"/>
      <c r="L1207" s="4"/>
      <c r="M1207" s="4"/>
      <c r="N1207" s="4"/>
      <c r="O1207" s="4"/>
      <c r="P1207" s="4"/>
      <c r="Q1207" s="4"/>
      <c r="R1207" s="4"/>
      <c r="S1207" s="4"/>
      <c r="T1207" s="4"/>
      <c r="U1207" s="4"/>
      <c r="V1207" s="4"/>
      <c r="W1207" s="4"/>
      <c r="X1207" s="4"/>
      <c r="Y1207" s="4"/>
      <c r="Z1207" s="4"/>
      <c r="AA1207" s="4"/>
      <c r="AB1207" s="5"/>
    </row>
    <row r="1208" spans="1:28" x14ac:dyDescent="0.35">
      <c r="A1208" s="3"/>
      <c r="B1208" s="4"/>
      <c r="C1208" s="4"/>
      <c r="D1208" s="4"/>
      <c r="E1208" s="4"/>
      <c r="F1208" s="4"/>
      <c r="G1208" s="4"/>
      <c r="H1208" s="4"/>
      <c r="I1208" s="4"/>
      <c r="J1208" s="4"/>
      <c r="K1208" s="4"/>
      <c r="L1208" s="4"/>
      <c r="M1208" s="4"/>
      <c r="N1208" s="4"/>
      <c r="O1208" s="4"/>
      <c r="P1208" s="4"/>
      <c r="Q1208" s="4"/>
      <c r="R1208" s="4"/>
      <c r="S1208" s="4"/>
      <c r="T1208" s="4"/>
      <c r="U1208" s="4"/>
      <c r="V1208" s="4"/>
      <c r="W1208" s="4"/>
      <c r="X1208" s="4"/>
      <c r="Y1208" s="4"/>
      <c r="Z1208" s="4"/>
      <c r="AA1208" s="4"/>
      <c r="AB1208" s="5"/>
    </row>
    <row r="1209" spans="1:28" x14ac:dyDescent="0.35">
      <c r="A1209" s="3"/>
      <c r="B1209" s="4"/>
      <c r="C1209" s="4"/>
      <c r="D1209" s="4"/>
      <c r="E1209" s="4"/>
      <c r="F1209" s="4"/>
      <c r="G1209" s="4"/>
      <c r="H1209" s="4"/>
      <c r="I1209" s="4"/>
      <c r="J1209" s="4"/>
      <c r="K1209" s="4"/>
      <c r="L1209" s="4"/>
      <c r="M1209" s="4"/>
      <c r="N1209" s="4"/>
      <c r="O1209" s="4"/>
      <c r="P1209" s="4"/>
      <c r="Q1209" s="4"/>
      <c r="R1209" s="4"/>
      <c r="S1209" s="4"/>
      <c r="T1209" s="4"/>
      <c r="U1209" s="4"/>
      <c r="V1209" s="4"/>
      <c r="W1209" s="4"/>
      <c r="X1209" s="4"/>
      <c r="Y1209" s="4"/>
      <c r="Z1209" s="4"/>
      <c r="AA1209" s="4"/>
      <c r="AB1209" s="5"/>
    </row>
    <row r="1210" spans="1:28" x14ac:dyDescent="0.35">
      <c r="A1210" s="3"/>
      <c r="B1210" s="4"/>
      <c r="C1210" s="4"/>
      <c r="D1210" s="4"/>
      <c r="E1210" s="4"/>
      <c r="F1210" s="4"/>
      <c r="G1210" s="4"/>
      <c r="H1210" s="4"/>
      <c r="I1210" s="4"/>
      <c r="J1210" s="4"/>
      <c r="K1210" s="4"/>
      <c r="L1210" s="4"/>
      <c r="M1210" s="4"/>
      <c r="N1210" s="4"/>
      <c r="O1210" s="4"/>
      <c r="P1210" s="4"/>
      <c r="Q1210" s="4"/>
      <c r="R1210" s="4"/>
      <c r="S1210" s="4"/>
      <c r="T1210" s="4"/>
      <c r="U1210" s="4"/>
      <c r="V1210" s="4"/>
      <c r="W1210" s="4"/>
      <c r="X1210" s="4"/>
      <c r="Y1210" s="4"/>
      <c r="Z1210" s="4"/>
      <c r="AA1210" s="4"/>
      <c r="AB1210" s="5"/>
    </row>
    <row r="1211" spans="1:28" x14ac:dyDescent="0.35">
      <c r="A1211" s="3"/>
      <c r="B1211" s="4"/>
      <c r="C1211" s="4"/>
      <c r="D1211" s="4"/>
      <c r="E1211" s="4"/>
      <c r="F1211" s="4"/>
      <c r="G1211" s="4"/>
      <c r="H1211" s="4"/>
      <c r="I1211" s="4"/>
      <c r="J1211" s="4"/>
      <c r="K1211" s="4"/>
      <c r="L1211" s="4"/>
      <c r="M1211" s="4"/>
      <c r="N1211" s="4"/>
      <c r="O1211" s="4"/>
      <c r="P1211" s="4"/>
      <c r="Q1211" s="4"/>
      <c r="R1211" s="4"/>
      <c r="S1211" s="4"/>
      <c r="T1211" s="4"/>
      <c r="U1211" s="4"/>
      <c r="V1211" s="4"/>
      <c r="W1211" s="4"/>
      <c r="X1211" s="4"/>
      <c r="Y1211" s="4"/>
      <c r="Z1211" s="4"/>
      <c r="AA1211" s="4"/>
      <c r="AB1211" s="5"/>
    </row>
    <row r="1212" spans="1:28" x14ac:dyDescent="0.35">
      <c r="A1212" s="3"/>
      <c r="B1212" s="4"/>
      <c r="C1212" s="4"/>
      <c r="D1212" s="4"/>
      <c r="E1212" s="4"/>
      <c r="F1212" s="4"/>
      <c r="G1212" s="4"/>
      <c r="H1212" s="4"/>
      <c r="I1212" s="4"/>
      <c r="J1212" s="4"/>
      <c r="K1212" s="4"/>
      <c r="L1212" s="4"/>
      <c r="M1212" s="4"/>
      <c r="N1212" s="4"/>
      <c r="O1212" s="4"/>
      <c r="P1212" s="4"/>
      <c r="Q1212" s="4"/>
      <c r="R1212" s="4"/>
      <c r="S1212" s="4"/>
      <c r="T1212" s="4"/>
      <c r="U1212" s="4"/>
      <c r="V1212" s="4"/>
      <c r="W1212" s="4"/>
      <c r="X1212" s="4"/>
      <c r="Y1212" s="4"/>
      <c r="Z1212" s="4"/>
      <c r="AA1212" s="4"/>
      <c r="AB1212" s="5"/>
    </row>
    <row r="1213" spans="1:28" x14ac:dyDescent="0.35">
      <c r="A1213" s="3"/>
      <c r="B1213" s="4"/>
      <c r="C1213" s="4"/>
      <c r="D1213" s="4"/>
      <c r="E1213" s="4"/>
      <c r="F1213" s="4"/>
      <c r="G1213" s="4"/>
      <c r="H1213" s="4"/>
      <c r="I1213" s="4"/>
      <c r="J1213" s="4"/>
      <c r="K1213" s="4"/>
      <c r="L1213" s="4"/>
      <c r="M1213" s="4"/>
      <c r="N1213" s="4"/>
      <c r="O1213" s="4"/>
      <c r="P1213" s="4"/>
      <c r="Q1213" s="4"/>
      <c r="R1213" s="4"/>
      <c r="S1213" s="4"/>
      <c r="T1213" s="4"/>
      <c r="U1213" s="4"/>
      <c r="V1213" s="4"/>
      <c r="W1213" s="4"/>
      <c r="X1213" s="4"/>
      <c r="Y1213" s="4"/>
      <c r="Z1213" s="4"/>
      <c r="AA1213" s="4"/>
      <c r="AB1213" s="5"/>
    </row>
    <row r="1214" spans="1:28" x14ac:dyDescent="0.35">
      <c r="A1214" s="3"/>
      <c r="B1214" s="4"/>
      <c r="C1214" s="4"/>
      <c r="D1214" s="4"/>
      <c r="E1214" s="4"/>
      <c r="F1214" s="4"/>
      <c r="G1214" s="4"/>
      <c r="H1214" s="4"/>
      <c r="I1214" s="4"/>
      <c r="J1214" s="4"/>
      <c r="K1214" s="4"/>
      <c r="L1214" s="4"/>
      <c r="M1214" s="4"/>
      <c r="N1214" s="4"/>
      <c r="O1214" s="4"/>
      <c r="P1214" s="4"/>
      <c r="Q1214" s="4"/>
      <c r="R1214" s="4"/>
      <c r="S1214" s="4"/>
      <c r="T1214" s="4"/>
      <c r="U1214" s="4"/>
      <c r="V1214" s="4"/>
      <c r="W1214" s="4"/>
      <c r="X1214" s="4"/>
      <c r="Y1214" s="4"/>
      <c r="Z1214" s="4"/>
      <c r="AA1214" s="4"/>
      <c r="AB1214" s="5"/>
    </row>
    <row r="1215" spans="1:28" x14ac:dyDescent="0.35">
      <c r="A1215" s="3"/>
      <c r="B1215" s="4"/>
      <c r="C1215" s="4"/>
      <c r="D1215" s="4"/>
      <c r="E1215" s="4"/>
      <c r="F1215" s="4"/>
      <c r="G1215" s="4"/>
      <c r="H1215" s="4"/>
      <c r="I1215" s="4"/>
      <c r="J1215" s="4"/>
      <c r="K1215" s="4"/>
      <c r="L1215" s="4"/>
      <c r="M1215" s="4"/>
      <c r="N1215" s="4"/>
      <c r="O1215" s="4"/>
      <c r="P1215" s="4"/>
      <c r="Q1215" s="4"/>
      <c r="R1215" s="4"/>
      <c r="S1215" s="4"/>
      <c r="T1215" s="4"/>
      <c r="U1215" s="4"/>
      <c r="V1215" s="4"/>
      <c r="W1215" s="4"/>
      <c r="X1215" s="4"/>
      <c r="Y1215" s="4"/>
      <c r="Z1215" s="4"/>
      <c r="AA1215" s="4"/>
      <c r="AB1215" s="5"/>
    </row>
    <row r="1216" spans="1:28" x14ac:dyDescent="0.35">
      <c r="A1216" s="3"/>
      <c r="B1216" s="4"/>
      <c r="C1216" s="4"/>
      <c r="D1216" s="4"/>
      <c r="E1216" s="4"/>
      <c r="F1216" s="4"/>
      <c r="G1216" s="4"/>
      <c r="H1216" s="4"/>
      <c r="I1216" s="4"/>
      <c r="J1216" s="4"/>
      <c r="K1216" s="4"/>
      <c r="L1216" s="4"/>
      <c r="M1216" s="4"/>
      <c r="N1216" s="4"/>
      <c r="O1216" s="4"/>
      <c r="P1216" s="4"/>
      <c r="Q1216" s="4"/>
      <c r="R1216" s="4"/>
      <c r="S1216" s="4"/>
      <c r="T1216" s="4"/>
      <c r="U1216" s="4"/>
      <c r="V1216" s="4"/>
      <c r="W1216" s="4"/>
      <c r="X1216" s="4"/>
      <c r="Y1216" s="4"/>
      <c r="Z1216" s="4"/>
      <c r="AA1216" s="4"/>
      <c r="AB1216" s="5"/>
    </row>
    <row r="1217" spans="1:28" x14ac:dyDescent="0.35">
      <c r="A1217" s="3"/>
      <c r="B1217" s="4"/>
      <c r="C1217" s="4"/>
      <c r="D1217" s="4"/>
      <c r="E1217" s="4"/>
      <c r="F1217" s="4"/>
      <c r="G1217" s="4"/>
      <c r="H1217" s="4"/>
      <c r="I1217" s="4"/>
      <c r="J1217" s="4"/>
      <c r="K1217" s="4"/>
      <c r="L1217" s="4"/>
      <c r="M1217" s="4"/>
      <c r="N1217" s="4"/>
      <c r="O1217" s="4"/>
      <c r="P1217" s="4"/>
      <c r="Q1217" s="4"/>
      <c r="R1217" s="4"/>
      <c r="S1217" s="4"/>
      <c r="T1217" s="4"/>
      <c r="U1217" s="4"/>
      <c r="V1217" s="4"/>
      <c r="W1217" s="4"/>
      <c r="X1217" s="4"/>
      <c r="Y1217" s="4"/>
      <c r="Z1217" s="4"/>
      <c r="AA1217" s="4"/>
      <c r="AB1217" s="5"/>
    </row>
    <row r="1218" spans="1:28" x14ac:dyDescent="0.35">
      <c r="A1218" s="3"/>
      <c r="B1218" s="4"/>
      <c r="C1218" s="4"/>
      <c r="D1218" s="4"/>
      <c r="E1218" s="4"/>
      <c r="F1218" s="4"/>
      <c r="G1218" s="4"/>
      <c r="H1218" s="4"/>
      <c r="I1218" s="4"/>
      <c r="J1218" s="4"/>
      <c r="K1218" s="4"/>
      <c r="L1218" s="4"/>
      <c r="M1218" s="4"/>
      <c r="N1218" s="4"/>
      <c r="O1218" s="4"/>
      <c r="P1218" s="4"/>
      <c r="Q1218" s="4"/>
      <c r="R1218" s="4"/>
      <c r="S1218" s="4"/>
      <c r="T1218" s="4"/>
      <c r="U1218" s="4"/>
      <c r="V1218" s="4"/>
      <c r="W1218" s="4"/>
      <c r="X1218" s="4"/>
      <c r="Y1218" s="4"/>
      <c r="Z1218" s="4"/>
      <c r="AA1218" s="4"/>
      <c r="AB1218" s="5"/>
    </row>
    <row r="1219" spans="1:28" x14ac:dyDescent="0.35">
      <c r="A1219" s="3"/>
      <c r="B1219" s="4"/>
      <c r="C1219" s="4"/>
      <c r="D1219" s="4"/>
      <c r="E1219" s="4"/>
      <c r="F1219" s="4"/>
      <c r="G1219" s="4"/>
      <c r="H1219" s="4"/>
      <c r="I1219" s="4"/>
      <c r="J1219" s="4"/>
      <c r="K1219" s="4"/>
      <c r="L1219" s="4"/>
      <c r="M1219" s="4"/>
      <c r="N1219" s="4"/>
      <c r="O1219" s="4"/>
      <c r="P1219" s="4"/>
      <c r="Q1219" s="4"/>
      <c r="R1219" s="4"/>
      <c r="S1219" s="4"/>
      <c r="T1219" s="4"/>
      <c r="U1219" s="4"/>
      <c r="V1219" s="4"/>
      <c r="W1219" s="4"/>
      <c r="X1219" s="4"/>
      <c r="Y1219" s="4"/>
      <c r="Z1219" s="4"/>
      <c r="AA1219" s="4"/>
      <c r="AB1219" s="5"/>
    </row>
    <row r="1220" spans="1:28" x14ac:dyDescent="0.35">
      <c r="A1220" s="3"/>
      <c r="B1220" s="4"/>
      <c r="C1220" s="4"/>
      <c r="D1220" s="4"/>
      <c r="E1220" s="4"/>
      <c r="F1220" s="4"/>
      <c r="G1220" s="4"/>
      <c r="H1220" s="4"/>
      <c r="I1220" s="4"/>
      <c r="J1220" s="4"/>
      <c r="K1220" s="4"/>
      <c r="L1220" s="4"/>
      <c r="M1220" s="4"/>
      <c r="N1220" s="4"/>
      <c r="O1220" s="4"/>
      <c r="P1220" s="4"/>
      <c r="Q1220" s="4"/>
      <c r="R1220" s="4"/>
      <c r="S1220" s="4"/>
      <c r="T1220" s="4"/>
      <c r="U1220" s="4"/>
      <c r="V1220" s="4"/>
      <c r="W1220" s="4"/>
      <c r="X1220" s="4"/>
      <c r="Y1220" s="4"/>
      <c r="Z1220" s="4"/>
      <c r="AA1220" s="4"/>
      <c r="AB1220" s="5"/>
    </row>
    <row r="1221" spans="1:28" x14ac:dyDescent="0.35">
      <c r="A1221" s="3"/>
      <c r="B1221" s="4"/>
      <c r="C1221" s="4"/>
      <c r="D1221" s="4"/>
      <c r="E1221" s="4"/>
      <c r="F1221" s="4"/>
      <c r="G1221" s="4"/>
      <c r="H1221" s="4"/>
      <c r="I1221" s="4"/>
      <c r="J1221" s="4"/>
      <c r="K1221" s="4"/>
      <c r="L1221" s="4"/>
      <c r="M1221" s="4"/>
      <c r="N1221" s="4"/>
      <c r="O1221" s="4"/>
      <c r="P1221" s="4"/>
      <c r="Q1221" s="4"/>
      <c r="R1221" s="4"/>
      <c r="S1221" s="4"/>
      <c r="T1221" s="4"/>
      <c r="U1221" s="4"/>
      <c r="V1221" s="4"/>
      <c r="W1221" s="4"/>
      <c r="X1221" s="4"/>
      <c r="Y1221" s="4"/>
      <c r="Z1221" s="4"/>
      <c r="AA1221" s="4"/>
      <c r="AB1221" s="5"/>
    </row>
    <row r="1222" spans="1:28" x14ac:dyDescent="0.35">
      <c r="A1222" s="3"/>
      <c r="B1222" s="4"/>
      <c r="C1222" s="4"/>
      <c r="D1222" s="4"/>
      <c r="E1222" s="4"/>
      <c r="F1222" s="4"/>
      <c r="G1222" s="4"/>
      <c r="H1222" s="4"/>
      <c r="I1222" s="4"/>
      <c r="J1222" s="4"/>
      <c r="K1222" s="4"/>
      <c r="L1222" s="4"/>
      <c r="M1222" s="4"/>
      <c r="N1222" s="4"/>
      <c r="O1222" s="4"/>
      <c r="P1222" s="4"/>
      <c r="Q1222" s="4"/>
      <c r="R1222" s="4"/>
      <c r="S1222" s="4"/>
      <c r="T1222" s="4"/>
      <c r="U1222" s="4"/>
      <c r="V1222" s="4"/>
      <c r="W1222" s="4"/>
      <c r="X1222" s="4"/>
      <c r="Y1222" s="4"/>
      <c r="Z1222" s="4"/>
      <c r="AA1222" s="4"/>
      <c r="AB1222" s="5"/>
    </row>
    <row r="1223" spans="1:28" x14ac:dyDescent="0.35">
      <c r="A1223" s="3"/>
      <c r="B1223" s="4"/>
      <c r="C1223" s="4"/>
      <c r="D1223" s="4"/>
      <c r="E1223" s="4"/>
      <c r="F1223" s="4"/>
      <c r="G1223" s="4"/>
      <c r="H1223" s="4"/>
      <c r="I1223" s="4"/>
      <c r="J1223" s="4"/>
      <c r="K1223" s="4"/>
      <c r="L1223" s="4"/>
      <c r="M1223" s="4"/>
      <c r="N1223" s="4"/>
      <c r="O1223" s="4"/>
      <c r="P1223" s="4"/>
      <c r="Q1223" s="4"/>
      <c r="R1223" s="4"/>
      <c r="S1223" s="4"/>
      <c r="T1223" s="4"/>
      <c r="U1223" s="4"/>
      <c r="V1223" s="4"/>
      <c r="W1223" s="4"/>
      <c r="X1223" s="4"/>
      <c r="Y1223" s="4"/>
      <c r="Z1223" s="4"/>
      <c r="AA1223" s="4"/>
      <c r="AB1223" s="5"/>
    </row>
    <row r="1224" spans="1:28" x14ac:dyDescent="0.35">
      <c r="A1224" s="3"/>
      <c r="B1224" s="4"/>
      <c r="C1224" s="4"/>
      <c r="D1224" s="4"/>
      <c r="E1224" s="4"/>
      <c r="F1224" s="4"/>
      <c r="G1224" s="4"/>
      <c r="H1224" s="4"/>
      <c r="I1224" s="4"/>
      <c r="J1224" s="4"/>
      <c r="K1224" s="4"/>
      <c r="L1224" s="4"/>
      <c r="M1224" s="4"/>
      <c r="N1224" s="4"/>
      <c r="O1224" s="4"/>
      <c r="P1224" s="4"/>
      <c r="Q1224" s="4"/>
      <c r="R1224" s="4"/>
      <c r="S1224" s="4"/>
      <c r="T1224" s="4"/>
      <c r="U1224" s="4"/>
      <c r="V1224" s="4"/>
      <c r="W1224" s="4"/>
      <c r="X1224" s="4"/>
      <c r="Y1224" s="4"/>
      <c r="Z1224" s="4"/>
      <c r="AA1224" s="4"/>
      <c r="AB1224" s="5"/>
    </row>
    <row r="1225" spans="1:28" x14ac:dyDescent="0.35">
      <c r="A1225" s="3"/>
      <c r="B1225" s="4"/>
      <c r="C1225" s="4"/>
      <c r="D1225" s="4"/>
      <c r="E1225" s="4"/>
      <c r="F1225" s="4"/>
      <c r="G1225" s="4"/>
      <c r="H1225" s="4"/>
      <c r="I1225" s="4"/>
      <c r="J1225" s="4"/>
      <c r="K1225" s="4"/>
      <c r="L1225" s="4"/>
      <c r="M1225" s="4"/>
      <c r="N1225" s="4"/>
      <c r="O1225" s="4"/>
      <c r="P1225" s="4"/>
      <c r="Q1225" s="4"/>
      <c r="R1225" s="4"/>
      <c r="S1225" s="4"/>
      <c r="T1225" s="4"/>
      <c r="U1225" s="4"/>
      <c r="V1225" s="4"/>
      <c r="W1225" s="4"/>
      <c r="X1225" s="4"/>
      <c r="Y1225" s="4"/>
      <c r="Z1225" s="4"/>
      <c r="AA1225" s="4"/>
      <c r="AB1225" s="5"/>
    </row>
    <row r="1226" spans="1:28" x14ac:dyDescent="0.35">
      <c r="A1226" s="3"/>
      <c r="B1226" s="4"/>
      <c r="C1226" s="4"/>
      <c r="D1226" s="4"/>
      <c r="E1226" s="4"/>
      <c r="F1226" s="4"/>
      <c r="G1226" s="4"/>
      <c r="H1226" s="4"/>
      <c r="I1226" s="4"/>
      <c r="J1226" s="4"/>
      <c r="K1226" s="4"/>
      <c r="L1226" s="4"/>
      <c r="M1226" s="4"/>
      <c r="N1226" s="4"/>
      <c r="O1226" s="4"/>
      <c r="P1226" s="4"/>
      <c r="Q1226" s="4"/>
      <c r="R1226" s="4"/>
      <c r="S1226" s="4"/>
      <c r="T1226" s="4"/>
      <c r="U1226" s="4"/>
      <c r="V1226" s="4"/>
      <c r="W1226" s="4"/>
      <c r="X1226" s="4"/>
      <c r="Y1226" s="4"/>
      <c r="Z1226" s="4"/>
      <c r="AA1226" s="4"/>
      <c r="AB1226" s="5"/>
    </row>
    <row r="1227" spans="1:28" x14ac:dyDescent="0.35">
      <c r="A1227" s="3"/>
      <c r="B1227" s="4"/>
      <c r="C1227" s="4"/>
      <c r="D1227" s="4"/>
      <c r="E1227" s="4"/>
      <c r="F1227" s="4"/>
      <c r="G1227" s="4"/>
      <c r="H1227" s="4"/>
      <c r="I1227" s="4"/>
      <c r="J1227" s="4"/>
      <c r="K1227" s="4"/>
      <c r="L1227" s="4"/>
      <c r="M1227" s="4"/>
      <c r="N1227" s="4"/>
      <c r="O1227" s="4"/>
      <c r="P1227" s="4"/>
      <c r="Q1227" s="4"/>
      <c r="R1227" s="4"/>
      <c r="S1227" s="4"/>
      <c r="T1227" s="4"/>
      <c r="U1227" s="4"/>
      <c r="V1227" s="4"/>
      <c r="W1227" s="4"/>
      <c r="X1227" s="4"/>
      <c r="Y1227" s="4"/>
      <c r="Z1227" s="4"/>
      <c r="AA1227" s="4"/>
      <c r="AB1227" s="5"/>
    </row>
    <row r="1228" spans="1:28" x14ac:dyDescent="0.35">
      <c r="A1228" s="3"/>
      <c r="B1228" s="4"/>
      <c r="C1228" s="4"/>
      <c r="D1228" s="4"/>
      <c r="E1228" s="4"/>
      <c r="F1228" s="4"/>
      <c r="G1228" s="4"/>
      <c r="H1228" s="4"/>
      <c r="I1228" s="4"/>
      <c r="J1228" s="4"/>
      <c r="K1228" s="4"/>
      <c r="L1228" s="4"/>
      <c r="M1228" s="4"/>
      <c r="N1228" s="4"/>
      <c r="O1228" s="4"/>
      <c r="P1228" s="4"/>
      <c r="Q1228" s="4"/>
      <c r="R1228" s="4"/>
      <c r="S1228" s="4"/>
      <c r="T1228" s="4"/>
      <c r="U1228" s="4"/>
      <c r="V1228" s="4"/>
      <c r="W1228" s="4"/>
      <c r="X1228" s="4"/>
      <c r="Y1228" s="4"/>
      <c r="Z1228" s="4"/>
      <c r="AA1228" s="4"/>
      <c r="AB1228" s="5"/>
    </row>
    <row r="1229" spans="1:28" x14ac:dyDescent="0.35">
      <c r="A1229" s="3"/>
      <c r="B1229" s="4"/>
      <c r="C1229" s="4"/>
      <c r="D1229" s="4"/>
      <c r="E1229" s="4"/>
      <c r="F1229" s="4"/>
      <c r="G1229" s="4"/>
      <c r="H1229" s="4"/>
      <c r="I1229" s="4"/>
      <c r="J1229" s="4"/>
      <c r="K1229" s="4"/>
      <c r="L1229" s="4"/>
      <c r="M1229" s="4"/>
      <c r="N1229" s="4"/>
      <c r="O1229" s="4"/>
      <c r="P1229" s="4"/>
      <c r="Q1229" s="4"/>
      <c r="R1229" s="4"/>
      <c r="S1229" s="4"/>
      <c r="T1229" s="4"/>
      <c r="U1229" s="4"/>
      <c r="V1229" s="4"/>
      <c r="W1229" s="4"/>
      <c r="X1229" s="4"/>
      <c r="Y1229" s="4"/>
      <c r="Z1229" s="4"/>
      <c r="AA1229" s="4"/>
      <c r="AB1229" s="5"/>
    </row>
    <row r="1230" spans="1:28" x14ac:dyDescent="0.35">
      <c r="A1230" s="3"/>
      <c r="B1230" s="4"/>
      <c r="C1230" s="4"/>
      <c r="D1230" s="4"/>
      <c r="E1230" s="4"/>
      <c r="F1230" s="4"/>
      <c r="G1230" s="4"/>
      <c r="H1230" s="4"/>
      <c r="I1230" s="4"/>
      <c r="J1230" s="4"/>
      <c r="K1230" s="4"/>
      <c r="L1230" s="4"/>
      <c r="M1230" s="4"/>
      <c r="N1230" s="4"/>
      <c r="O1230" s="4"/>
      <c r="P1230" s="4"/>
      <c r="Q1230" s="4"/>
      <c r="R1230" s="4"/>
      <c r="S1230" s="4"/>
      <c r="T1230" s="4"/>
      <c r="U1230" s="4"/>
      <c r="V1230" s="4"/>
      <c r="W1230" s="4"/>
      <c r="X1230" s="4"/>
      <c r="Y1230" s="4"/>
      <c r="Z1230" s="4"/>
      <c r="AA1230" s="4"/>
      <c r="AB1230" s="5"/>
    </row>
    <row r="1231" spans="1:28" x14ac:dyDescent="0.35">
      <c r="A1231" s="3"/>
      <c r="B1231" s="4"/>
      <c r="C1231" s="4"/>
      <c r="D1231" s="4"/>
      <c r="E1231" s="4"/>
      <c r="F1231" s="4"/>
      <c r="G1231" s="4"/>
      <c r="H1231" s="4"/>
      <c r="I1231" s="4"/>
      <c r="J1231" s="4"/>
      <c r="K1231" s="4"/>
      <c r="L1231" s="4"/>
      <c r="M1231" s="4"/>
      <c r="N1231" s="4"/>
      <c r="O1231" s="4"/>
      <c r="P1231" s="4"/>
      <c r="Q1231" s="4"/>
      <c r="R1231" s="4"/>
      <c r="S1231" s="4"/>
      <c r="T1231" s="4"/>
      <c r="U1231" s="4"/>
      <c r="V1231" s="4"/>
      <c r="W1231" s="4"/>
      <c r="X1231" s="4"/>
      <c r="Y1231" s="4"/>
      <c r="Z1231" s="4"/>
      <c r="AA1231" s="4"/>
      <c r="AB1231" s="5"/>
    </row>
    <row r="1232" spans="1:28" x14ac:dyDescent="0.35">
      <c r="A1232" s="3"/>
      <c r="B1232" s="4"/>
      <c r="C1232" s="4"/>
      <c r="D1232" s="4"/>
      <c r="E1232" s="4"/>
      <c r="F1232" s="4"/>
      <c r="G1232" s="4"/>
      <c r="H1232" s="4"/>
      <c r="I1232" s="4"/>
      <c r="J1232" s="4"/>
      <c r="K1232" s="4"/>
      <c r="L1232" s="4"/>
      <c r="M1232" s="4"/>
      <c r="N1232" s="4"/>
      <c r="O1232" s="4"/>
      <c r="P1232" s="4"/>
      <c r="Q1232" s="4"/>
      <c r="R1232" s="4"/>
      <c r="S1232" s="4"/>
      <c r="T1232" s="4"/>
      <c r="U1232" s="4"/>
      <c r="V1232" s="4"/>
      <c r="W1232" s="4"/>
      <c r="X1232" s="4"/>
      <c r="Y1232" s="4"/>
      <c r="Z1232" s="4"/>
      <c r="AA1232" s="4"/>
      <c r="AB1232" s="5"/>
    </row>
    <row r="1233" spans="1:28" x14ac:dyDescent="0.35">
      <c r="A1233" s="3"/>
      <c r="B1233" s="4"/>
      <c r="C1233" s="4"/>
      <c r="D1233" s="4"/>
      <c r="E1233" s="4"/>
      <c r="F1233" s="4"/>
      <c r="G1233" s="4"/>
      <c r="H1233" s="4"/>
      <c r="I1233" s="4"/>
      <c r="J1233" s="4"/>
      <c r="K1233" s="4"/>
      <c r="L1233" s="4"/>
      <c r="M1233" s="4"/>
      <c r="N1233" s="4"/>
      <c r="O1233" s="4"/>
      <c r="P1233" s="4"/>
      <c r="Q1233" s="4"/>
      <c r="R1233" s="4"/>
      <c r="S1233" s="4"/>
      <c r="T1233" s="4"/>
      <c r="U1233" s="4"/>
      <c r="V1233" s="4"/>
      <c r="W1233" s="4"/>
      <c r="X1233" s="4"/>
      <c r="Y1233" s="4"/>
      <c r="Z1233" s="4"/>
      <c r="AA1233" s="4"/>
      <c r="AB1233" s="5"/>
    </row>
    <row r="1234" spans="1:28" x14ac:dyDescent="0.35">
      <c r="A1234" s="3"/>
      <c r="B1234" s="4"/>
      <c r="C1234" s="4"/>
      <c r="D1234" s="4"/>
      <c r="E1234" s="4"/>
      <c r="F1234" s="4"/>
      <c r="G1234" s="4"/>
      <c r="H1234" s="4"/>
      <c r="I1234" s="4"/>
      <c r="J1234" s="4"/>
      <c r="K1234" s="4"/>
      <c r="L1234" s="4"/>
      <c r="M1234" s="4"/>
      <c r="N1234" s="4"/>
      <c r="O1234" s="4"/>
      <c r="P1234" s="4"/>
      <c r="Q1234" s="4"/>
      <c r="R1234" s="4"/>
      <c r="S1234" s="4"/>
      <c r="T1234" s="4"/>
      <c r="U1234" s="4"/>
      <c r="V1234" s="4"/>
      <c r="W1234" s="4"/>
      <c r="X1234" s="4"/>
      <c r="Y1234" s="4"/>
      <c r="Z1234" s="4"/>
      <c r="AA1234" s="4"/>
      <c r="AB1234" s="5"/>
    </row>
    <row r="1235" spans="1:28" x14ac:dyDescent="0.35">
      <c r="A1235" s="3"/>
      <c r="B1235" s="4"/>
      <c r="C1235" s="4"/>
      <c r="D1235" s="4"/>
      <c r="E1235" s="4"/>
      <c r="F1235" s="4"/>
      <c r="G1235" s="4"/>
      <c r="H1235" s="4"/>
      <c r="I1235" s="4"/>
      <c r="J1235" s="4"/>
      <c r="K1235" s="4"/>
      <c r="L1235" s="4"/>
      <c r="M1235" s="4"/>
      <c r="N1235" s="4"/>
      <c r="O1235" s="4"/>
      <c r="P1235" s="4"/>
      <c r="Q1235" s="4"/>
      <c r="R1235" s="4"/>
      <c r="S1235" s="4"/>
      <c r="T1235" s="4"/>
      <c r="U1235" s="4"/>
      <c r="V1235" s="4"/>
      <c r="W1235" s="4"/>
      <c r="X1235" s="4"/>
      <c r="Y1235" s="4"/>
      <c r="Z1235" s="4"/>
      <c r="AA1235" s="4"/>
      <c r="AB1235" s="5"/>
    </row>
    <row r="1236" spans="1:28" x14ac:dyDescent="0.35">
      <c r="A1236" s="3"/>
      <c r="B1236" s="4"/>
      <c r="C1236" s="4"/>
      <c r="D1236" s="4"/>
      <c r="E1236" s="4"/>
      <c r="F1236" s="4"/>
      <c r="G1236" s="4"/>
      <c r="H1236" s="4"/>
      <c r="I1236" s="4"/>
      <c r="J1236" s="4"/>
      <c r="K1236" s="4"/>
      <c r="L1236" s="4"/>
      <c r="M1236" s="4"/>
      <c r="N1236" s="4"/>
      <c r="O1236" s="4"/>
      <c r="P1236" s="4"/>
      <c r="Q1236" s="4"/>
      <c r="R1236" s="4"/>
      <c r="S1236" s="4"/>
      <c r="T1236" s="4"/>
      <c r="U1236" s="4"/>
      <c r="V1236" s="4"/>
      <c r="W1236" s="4"/>
      <c r="X1236" s="4"/>
      <c r="Y1236" s="4"/>
      <c r="Z1236" s="4"/>
      <c r="AA1236" s="4"/>
      <c r="AB1236" s="5"/>
    </row>
    <row r="1237" spans="1:28" x14ac:dyDescent="0.35">
      <c r="A1237" s="3"/>
      <c r="B1237" s="4"/>
      <c r="C1237" s="4"/>
      <c r="D1237" s="4"/>
      <c r="E1237" s="4"/>
      <c r="F1237" s="4"/>
      <c r="G1237" s="4"/>
      <c r="H1237" s="4"/>
      <c r="I1237" s="4"/>
      <c r="J1237" s="4"/>
      <c r="K1237" s="4"/>
      <c r="L1237" s="4"/>
      <c r="M1237" s="4"/>
      <c r="N1237" s="4"/>
      <c r="O1237" s="4"/>
      <c r="P1237" s="4"/>
      <c r="Q1237" s="4"/>
      <c r="R1237" s="4"/>
      <c r="S1237" s="4"/>
      <c r="T1237" s="4"/>
      <c r="U1237" s="4"/>
      <c r="V1237" s="4"/>
      <c r="W1237" s="4"/>
      <c r="X1237" s="4"/>
      <c r="Y1237" s="4"/>
      <c r="Z1237" s="4"/>
      <c r="AA1237" s="4"/>
      <c r="AB1237" s="5"/>
    </row>
    <row r="1238" spans="1:28" x14ac:dyDescent="0.35">
      <c r="A1238" s="3"/>
      <c r="B1238" s="4"/>
      <c r="C1238" s="4"/>
      <c r="D1238" s="4"/>
      <c r="E1238" s="4"/>
      <c r="F1238" s="4"/>
      <c r="G1238" s="4"/>
      <c r="H1238" s="4"/>
      <c r="I1238" s="4"/>
      <c r="J1238" s="4"/>
      <c r="K1238" s="4"/>
      <c r="L1238" s="4"/>
      <c r="M1238" s="4"/>
      <c r="N1238" s="4"/>
      <c r="O1238" s="4"/>
      <c r="P1238" s="4"/>
      <c r="Q1238" s="4"/>
      <c r="R1238" s="4"/>
      <c r="S1238" s="4"/>
      <c r="T1238" s="4"/>
      <c r="U1238" s="4"/>
      <c r="V1238" s="4"/>
      <c r="W1238" s="4"/>
      <c r="X1238" s="4"/>
      <c r="Y1238" s="4"/>
      <c r="Z1238" s="4"/>
      <c r="AA1238" s="4"/>
      <c r="AB1238" s="5"/>
    </row>
    <row r="1239" spans="1:28" x14ac:dyDescent="0.35">
      <c r="A1239" s="3"/>
      <c r="B1239" s="4"/>
      <c r="C1239" s="4"/>
      <c r="D1239" s="4"/>
      <c r="E1239" s="4"/>
      <c r="F1239" s="4"/>
      <c r="G1239" s="4"/>
      <c r="H1239" s="4"/>
      <c r="I1239" s="4"/>
      <c r="J1239" s="4"/>
      <c r="K1239" s="4"/>
      <c r="L1239" s="4"/>
      <c r="M1239" s="4"/>
      <c r="N1239" s="4"/>
      <c r="O1239" s="4"/>
      <c r="P1239" s="4"/>
      <c r="Q1239" s="4"/>
      <c r="R1239" s="4"/>
      <c r="S1239" s="4"/>
      <c r="T1239" s="4"/>
      <c r="U1239" s="4"/>
      <c r="V1239" s="4"/>
      <c r="W1239" s="4"/>
      <c r="X1239" s="4"/>
      <c r="Y1239" s="4"/>
      <c r="Z1239" s="4"/>
      <c r="AA1239" s="4"/>
      <c r="AB1239" s="5"/>
    </row>
    <row r="1240" spans="1:28" x14ac:dyDescent="0.35">
      <c r="A1240" s="3"/>
      <c r="B1240" s="4"/>
      <c r="C1240" s="4"/>
      <c r="D1240" s="4"/>
      <c r="E1240" s="4"/>
      <c r="F1240" s="4"/>
      <c r="G1240" s="4"/>
      <c r="H1240" s="4"/>
      <c r="I1240" s="4"/>
      <c r="J1240" s="4"/>
      <c r="K1240" s="4"/>
      <c r="L1240" s="4"/>
      <c r="M1240" s="4"/>
      <c r="N1240" s="4"/>
      <c r="O1240" s="4"/>
      <c r="P1240" s="4"/>
      <c r="Q1240" s="4"/>
      <c r="R1240" s="4"/>
      <c r="S1240" s="4"/>
      <c r="T1240" s="4"/>
      <c r="U1240" s="4"/>
      <c r="V1240" s="4"/>
      <c r="W1240" s="4"/>
      <c r="X1240" s="4"/>
      <c r="Y1240" s="4"/>
      <c r="Z1240" s="4"/>
      <c r="AA1240" s="4"/>
      <c r="AB1240" s="5"/>
    </row>
    <row r="1241" spans="1:28" x14ac:dyDescent="0.35">
      <c r="A1241" s="3"/>
      <c r="B1241" s="4"/>
      <c r="C1241" s="4"/>
      <c r="D1241" s="4"/>
      <c r="E1241" s="4"/>
      <c r="F1241" s="4"/>
      <c r="G1241" s="4"/>
      <c r="H1241" s="4"/>
      <c r="I1241" s="4"/>
      <c r="J1241" s="4"/>
      <c r="K1241" s="4"/>
      <c r="L1241" s="4"/>
      <c r="M1241" s="4"/>
      <c r="N1241" s="4"/>
      <c r="O1241" s="4"/>
      <c r="P1241" s="4"/>
      <c r="Q1241" s="4"/>
      <c r="R1241" s="4"/>
      <c r="S1241" s="4"/>
      <c r="T1241" s="4"/>
      <c r="U1241" s="4"/>
      <c r="V1241" s="4"/>
      <c r="W1241" s="4"/>
      <c r="X1241" s="4"/>
      <c r="Y1241" s="4"/>
      <c r="Z1241" s="4"/>
      <c r="AA1241" s="4"/>
      <c r="AB1241" s="5"/>
    </row>
    <row r="1242" spans="1:28" x14ac:dyDescent="0.35">
      <c r="A1242" s="3"/>
      <c r="B1242" s="4"/>
      <c r="C1242" s="4"/>
      <c r="D1242" s="4"/>
      <c r="E1242" s="4"/>
      <c r="F1242" s="4"/>
      <c r="G1242" s="4"/>
      <c r="H1242" s="4"/>
      <c r="I1242" s="4"/>
      <c r="J1242" s="4"/>
      <c r="K1242" s="4"/>
      <c r="L1242" s="4"/>
      <c r="M1242" s="4"/>
      <c r="N1242" s="4"/>
      <c r="O1242" s="4"/>
      <c r="P1242" s="4"/>
      <c r="Q1242" s="4"/>
      <c r="R1242" s="4"/>
      <c r="S1242" s="4"/>
      <c r="T1242" s="4"/>
      <c r="U1242" s="4"/>
      <c r="V1242" s="4"/>
      <c r="W1242" s="4"/>
      <c r="X1242" s="4"/>
      <c r="Y1242" s="4"/>
      <c r="Z1242" s="4"/>
      <c r="AA1242" s="4"/>
      <c r="AB1242" s="5"/>
    </row>
    <row r="1243" spans="1:28" x14ac:dyDescent="0.35">
      <c r="A1243" s="3"/>
      <c r="B1243" s="4"/>
      <c r="C1243" s="4"/>
      <c r="D1243" s="4"/>
      <c r="E1243" s="4"/>
      <c r="F1243" s="4"/>
      <c r="G1243" s="4"/>
      <c r="H1243" s="4"/>
      <c r="I1243" s="4"/>
      <c r="J1243" s="4"/>
      <c r="K1243" s="4"/>
      <c r="L1243" s="4"/>
      <c r="M1243" s="4"/>
      <c r="N1243" s="4"/>
      <c r="O1243" s="4"/>
      <c r="P1243" s="4"/>
      <c r="Q1243" s="4"/>
      <c r="R1243" s="4"/>
      <c r="S1243" s="4"/>
      <c r="T1243" s="4"/>
      <c r="U1243" s="4"/>
      <c r="V1243" s="4"/>
      <c r="W1243" s="4"/>
      <c r="X1243" s="4"/>
      <c r="Y1243" s="4"/>
      <c r="Z1243" s="4"/>
      <c r="AA1243" s="4"/>
      <c r="AB1243" s="5"/>
    </row>
    <row r="1244" spans="1:28" x14ac:dyDescent="0.35">
      <c r="A1244" s="3"/>
      <c r="B1244" s="4"/>
      <c r="C1244" s="4"/>
      <c r="D1244" s="4"/>
      <c r="E1244" s="4"/>
      <c r="F1244" s="4"/>
      <c r="G1244" s="4"/>
      <c r="H1244" s="4"/>
      <c r="I1244" s="4"/>
      <c r="J1244" s="4"/>
      <c r="K1244" s="4"/>
      <c r="L1244" s="4"/>
      <c r="M1244" s="4"/>
      <c r="N1244" s="4"/>
      <c r="O1244" s="4"/>
      <c r="P1244" s="4"/>
      <c r="Q1244" s="4"/>
      <c r="R1244" s="4"/>
      <c r="S1244" s="4"/>
      <c r="T1244" s="4"/>
      <c r="U1244" s="4"/>
      <c r="V1244" s="4"/>
      <c r="W1244" s="4"/>
      <c r="X1244" s="4"/>
      <c r="Y1244" s="4"/>
      <c r="Z1244" s="4"/>
      <c r="AA1244" s="4"/>
      <c r="AB1244" s="5"/>
    </row>
    <row r="1245" spans="1:28" x14ac:dyDescent="0.35">
      <c r="A1245" s="3"/>
      <c r="B1245" s="4"/>
      <c r="C1245" s="4"/>
      <c r="D1245" s="4"/>
      <c r="E1245" s="4"/>
      <c r="F1245" s="4"/>
      <c r="G1245" s="4"/>
      <c r="H1245" s="4"/>
      <c r="I1245" s="4"/>
      <c r="J1245" s="4"/>
      <c r="K1245" s="4"/>
      <c r="L1245" s="4"/>
      <c r="M1245" s="4"/>
      <c r="N1245" s="4"/>
      <c r="O1245" s="4"/>
      <c r="P1245" s="4"/>
      <c r="Q1245" s="4"/>
      <c r="R1245" s="4"/>
      <c r="S1245" s="4"/>
      <c r="T1245" s="4"/>
      <c r="U1245" s="4"/>
      <c r="V1245" s="4"/>
      <c r="W1245" s="4"/>
      <c r="X1245" s="4"/>
      <c r="Y1245" s="4"/>
      <c r="Z1245" s="4"/>
      <c r="AA1245" s="4"/>
      <c r="AB1245" s="5"/>
    </row>
    <row r="1246" spans="1:28" x14ac:dyDescent="0.35">
      <c r="A1246" s="3"/>
      <c r="B1246" s="4"/>
      <c r="C1246" s="4"/>
      <c r="D1246" s="4"/>
      <c r="E1246" s="4"/>
      <c r="F1246" s="4"/>
      <c r="G1246" s="4"/>
      <c r="H1246" s="4"/>
      <c r="I1246" s="4"/>
      <c r="J1246" s="4"/>
      <c r="K1246" s="4"/>
      <c r="L1246" s="4"/>
      <c r="M1246" s="4"/>
      <c r="N1246" s="4"/>
      <c r="O1246" s="4"/>
      <c r="P1246" s="4"/>
      <c r="Q1246" s="4"/>
      <c r="R1246" s="4"/>
      <c r="S1246" s="4"/>
      <c r="T1246" s="4"/>
      <c r="U1246" s="4"/>
      <c r="V1246" s="4"/>
      <c r="W1246" s="4"/>
      <c r="X1246" s="4"/>
      <c r="Y1246" s="4"/>
      <c r="Z1246" s="4"/>
      <c r="AA1246" s="4"/>
      <c r="AB1246" s="5"/>
    </row>
    <row r="1247" spans="1:28" x14ac:dyDescent="0.35">
      <c r="A1247" s="3"/>
      <c r="B1247" s="4"/>
      <c r="C1247" s="4"/>
      <c r="D1247" s="4"/>
      <c r="E1247" s="4"/>
      <c r="F1247" s="4"/>
      <c r="G1247" s="4"/>
      <c r="H1247" s="4"/>
      <c r="I1247" s="4"/>
      <c r="J1247" s="4"/>
      <c r="K1247" s="4"/>
      <c r="L1247" s="4"/>
      <c r="M1247" s="4"/>
      <c r="N1247" s="4"/>
      <c r="O1247" s="4"/>
      <c r="P1247" s="4"/>
      <c r="Q1247" s="4"/>
      <c r="R1247" s="4"/>
      <c r="S1247" s="4"/>
      <c r="T1247" s="4"/>
      <c r="U1247" s="4"/>
      <c r="V1247" s="4"/>
      <c r="W1247" s="4"/>
      <c r="X1247" s="4"/>
      <c r="Y1247" s="4"/>
      <c r="Z1247" s="4"/>
      <c r="AA1247" s="4"/>
      <c r="AB1247" s="5"/>
    </row>
    <row r="1248" spans="1:28" x14ac:dyDescent="0.35">
      <c r="A1248" s="3"/>
      <c r="B1248" s="4"/>
      <c r="C1248" s="4"/>
      <c r="D1248" s="4"/>
      <c r="E1248" s="4"/>
      <c r="F1248" s="4"/>
      <c r="G1248" s="4"/>
      <c r="H1248" s="4"/>
      <c r="I1248" s="4"/>
      <c r="J1248" s="4"/>
      <c r="K1248" s="4"/>
      <c r="L1248" s="4"/>
      <c r="M1248" s="4"/>
      <c r="N1248" s="4"/>
      <c r="O1248" s="4"/>
      <c r="P1248" s="4"/>
      <c r="Q1248" s="4"/>
      <c r="R1248" s="4"/>
      <c r="S1248" s="4"/>
      <c r="T1248" s="4"/>
      <c r="U1248" s="4"/>
      <c r="V1248" s="4"/>
      <c r="W1248" s="4"/>
      <c r="X1248" s="4"/>
      <c r="Y1248" s="4"/>
      <c r="Z1248" s="4"/>
      <c r="AA1248" s="4"/>
      <c r="AB1248" s="5"/>
    </row>
    <row r="1249" spans="1:28" x14ac:dyDescent="0.35">
      <c r="A1249" s="3"/>
      <c r="B1249" s="4"/>
      <c r="C1249" s="4"/>
      <c r="D1249" s="4"/>
      <c r="E1249" s="4"/>
      <c r="F1249" s="4"/>
      <c r="G1249" s="4"/>
      <c r="H1249" s="4"/>
      <c r="I1249" s="4"/>
      <c r="J1249" s="4"/>
      <c r="K1249" s="4"/>
      <c r="L1249" s="4"/>
      <c r="M1249" s="4"/>
      <c r="N1249" s="4"/>
      <c r="O1249" s="4"/>
      <c r="P1249" s="4"/>
      <c r="Q1249" s="4"/>
      <c r="R1249" s="4"/>
      <c r="S1249" s="4"/>
      <c r="T1249" s="4"/>
      <c r="U1249" s="4"/>
      <c r="V1249" s="4"/>
      <c r="W1249" s="4"/>
      <c r="X1249" s="4"/>
      <c r="Y1249" s="4"/>
      <c r="Z1249" s="4"/>
      <c r="AA1249" s="4"/>
      <c r="AB1249" s="5"/>
    </row>
    <row r="1250" spans="1:28" x14ac:dyDescent="0.35">
      <c r="A1250" s="3"/>
      <c r="B1250" s="4"/>
      <c r="C1250" s="4"/>
      <c r="D1250" s="4"/>
      <c r="E1250" s="4"/>
      <c r="F1250" s="4"/>
      <c r="G1250" s="4"/>
      <c r="H1250" s="4"/>
      <c r="I1250" s="4"/>
      <c r="J1250" s="4"/>
      <c r="K1250" s="4"/>
      <c r="L1250" s="4"/>
      <c r="M1250" s="4"/>
      <c r="N1250" s="4"/>
      <c r="O1250" s="4"/>
      <c r="P1250" s="4"/>
      <c r="Q1250" s="4"/>
      <c r="R1250" s="4"/>
      <c r="S1250" s="4"/>
      <c r="T1250" s="4"/>
      <c r="U1250" s="4"/>
      <c r="V1250" s="4"/>
      <c r="W1250" s="4"/>
      <c r="X1250" s="4"/>
      <c r="Y1250" s="4"/>
      <c r="Z1250" s="4"/>
      <c r="AA1250" s="4"/>
      <c r="AB1250" s="5"/>
    </row>
    <row r="1251" spans="1:28" x14ac:dyDescent="0.35">
      <c r="A1251" s="3"/>
      <c r="B1251" s="4"/>
      <c r="C1251" s="4"/>
      <c r="D1251" s="4"/>
      <c r="E1251" s="4"/>
      <c r="F1251" s="4"/>
      <c r="G1251" s="4"/>
      <c r="H1251" s="4"/>
      <c r="I1251" s="4"/>
      <c r="J1251" s="4"/>
      <c r="K1251" s="4"/>
      <c r="L1251" s="4"/>
      <c r="M1251" s="4"/>
      <c r="N1251" s="4"/>
      <c r="O1251" s="4"/>
      <c r="P1251" s="4"/>
      <c r="Q1251" s="4"/>
      <c r="R1251" s="4"/>
      <c r="S1251" s="4"/>
      <c r="T1251" s="4"/>
      <c r="U1251" s="4"/>
      <c r="V1251" s="4"/>
      <c r="W1251" s="4"/>
      <c r="X1251" s="4"/>
      <c r="Y1251" s="4"/>
      <c r="Z1251" s="4"/>
      <c r="AA1251" s="4"/>
      <c r="AB1251" s="5"/>
    </row>
    <row r="1252" spans="1:28" x14ac:dyDescent="0.35">
      <c r="A1252" s="3"/>
      <c r="B1252" s="4"/>
      <c r="C1252" s="4"/>
      <c r="D1252" s="4"/>
      <c r="E1252" s="4"/>
      <c r="F1252" s="4"/>
      <c r="G1252" s="4"/>
      <c r="H1252" s="4"/>
      <c r="I1252" s="4"/>
      <c r="J1252" s="4"/>
      <c r="K1252" s="4"/>
      <c r="L1252" s="4"/>
      <c r="M1252" s="4"/>
      <c r="N1252" s="4"/>
      <c r="O1252" s="4"/>
      <c r="P1252" s="4"/>
      <c r="Q1252" s="4"/>
      <c r="R1252" s="4"/>
      <c r="S1252" s="4"/>
      <c r="T1252" s="4"/>
      <c r="U1252" s="4"/>
      <c r="V1252" s="4"/>
      <c r="W1252" s="4"/>
      <c r="X1252" s="4"/>
      <c r="Y1252" s="4"/>
      <c r="Z1252" s="4"/>
      <c r="AA1252" s="4"/>
      <c r="AB1252" s="5"/>
    </row>
    <row r="1253" spans="1:28" x14ac:dyDescent="0.35">
      <c r="A1253" s="3"/>
      <c r="B1253" s="4"/>
      <c r="C1253" s="4"/>
      <c r="D1253" s="4"/>
      <c r="E1253" s="4"/>
      <c r="F1253" s="4"/>
      <c r="G1253" s="4"/>
      <c r="H1253" s="4"/>
      <c r="I1253" s="4"/>
      <c r="J1253" s="4"/>
      <c r="K1253" s="4"/>
      <c r="L1253" s="4"/>
      <c r="M1253" s="4"/>
      <c r="N1253" s="4"/>
      <c r="O1253" s="4"/>
      <c r="P1253" s="4"/>
      <c r="Q1253" s="4"/>
      <c r="R1253" s="4"/>
      <c r="S1253" s="4"/>
      <c r="T1253" s="4"/>
      <c r="U1253" s="4"/>
      <c r="V1253" s="4"/>
      <c r="W1253" s="4"/>
      <c r="X1253" s="4"/>
      <c r="Y1253" s="4"/>
      <c r="Z1253" s="4"/>
      <c r="AA1253" s="4"/>
      <c r="AB1253" s="5"/>
    </row>
    <row r="1254" spans="1:28" x14ac:dyDescent="0.35">
      <c r="A1254" s="3"/>
      <c r="B1254" s="4"/>
      <c r="C1254" s="4"/>
      <c r="D1254" s="4"/>
      <c r="E1254" s="4"/>
      <c r="F1254" s="4"/>
      <c r="G1254" s="4"/>
      <c r="H1254" s="4"/>
      <c r="I1254" s="4"/>
      <c r="J1254" s="4"/>
      <c r="K1254" s="4"/>
      <c r="L1254" s="4"/>
      <c r="M1254" s="4"/>
      <c r="N1254" s="4"/>
      <c r="O1254" s="4"/>
      <c r="P1254" s="4"/>
      <c r="Q1254" s="4"/>
      <c r="R1254" s="4"/>
      <c r="S1254" s="4"/>
      <c r="T1254" s="4"/>
      <c r="U1254" s="4"/>
      <c r="V1254" s="4"/>
      <c r="W1254" s="4"/>
      <c r="X1254" s="4"/>
      <c r="Y1254" s="4"/>
      <c r="Z1254" s="4"/>
      <c r="AA1254" s="4"/>
      <c r="AB1254" s="5"/>
    </row>
    <row r="1255" spans="1:28" x14ac:dyDescent="0.35">
      <c r="A1255" s="3"/>
      <c r="B1255" s="4"/>
      <c r="C1255" s="4"/>
      <c r="D1255" s="4"/>
      <c r="E1255" s="4"/>
      <c r="F1255" s="4"/>
      <c r="G1255" s="4"/>
      <c r="H1255" s="4"/>
      <c r="I1255" s="4"/>
      <c r="J1255" s="4"/>
      <c r="K1255" s="4"/>
      <c r="L1255" s="4"/>
      <c r="M1255" s="4"/>
      <c r="N1255" s="4"/>
      <c r="O1255" s="4"/>
      <c r="P1255" s="4"/>
      <c r="Q1255" s="4"/>
      <c r="R1255" s="4"/>
      <c r="S1255" s="4"/>
      <c r="T1255" s="4"/>
      <c r="U1255" s="4"/>
      <c r="V1255" s="4"/>
      <c r="W1255" s="4"/>
      <c r="X1255" s="4"/>
      <c r="Y1255" s="4"/>
      <c r="Z1255" s="4"/>
      <c r="AA1255" s="4"/>
      <c r="AB1255" s="5"/>
    </row>
    <row r="1256" spans="1:28" x14ac:dyDescent="0.35">
      <c r="A1256" s="3"/>
      <c r="B1256" s="4"/>
      <c r="C1256" s="4"/>
      <c r="D1256" s="4"/>
      <c r="E1256" s="4"/>
      <c r="F1256" s="4"/>
      <c r="G1256" s="4"/>
      <c r="H1256" s="4"/>
      <c r="I1256" s="4"/>
      <c r="J1256" s="4"/>
      <c r="K1256" s="4"/>
      <c r="L1256" s="4"/>
      <c r="M1256" s="4"/>
      <c r="N1256" s="4"/>
      <c r="O1256" s="4"/>
      <c r="P1256" s="4"/>
      <c r="Q1256" s="4"/>
      <c r="R1256" s="4"/>
      <c r="S1256" s="4"/>
      <c r="T1256" s="4"/>
      <c r="U1256" s="4"/>
      <c r="V1256" s="4"/>
      <c r="W1256" s="4"/>
      <c r="X1256" s="4"/>
      <c r="Y1256" s="4"/>
      <c r="Z1256" s="4"/>
      <c r="AA1256" s="4"/>
      <c r="AB1256" s="5"/>
    </row>
    <row r="1257" spans="1:28" x14ac:dyDescent="0.35">
      <c r="A1257" s="3"/>
      <c r="B1257" s="4"/>
      <c r="C1257" s="4"/>
      <c r="D1257" s="4"/>
      <c r="E1257" s="4"/>
      <c r="F1257" s="4"/>
      <c r="G1257" s="4"/>
      <c r="H1257" s="4"/>
      <c r="I1257" s="4"/>
      <c r="J1257" s="4"/>
      <c r="K1257" s="4"/>
      <c r="L1257" s="4"/>
      <c r="M1257" s="4"/>
      <c r="N1257" s="4"/>
      <c r="O1257" s="4"/>
      <c r="P1257" s="4"/>
      <c r="Q1257" s="4"/>
      <c r="R1257" s="4"/>
      <c r="S1257" s="4"/>
      <c r="T1257" s="4"/>
      <c r="U1257" s="4"/>
      <c r="V1257" s="4"/>
      <c r="W1257" s="4"/>
      <c r="X1257" s="4"/>
      <c r="Y1257" s="4"/>
      <c r="Z1257" s="4"/>
      <c r="AA1257" s="4"/>
      <c r="AB1257" s="5"/>
    </row>
    <row r="1258" spans="1:28" x14ac:dyDescent="0.35">
      <c r="A1258" s="3"/>
      <c r="B1258" s="4"/>
      <c r="C1258" s="4"/>
      <c r="D1258" s="4"/>
      <c r="E1258" s="4"/>
      <c r="F1258" s="4"/>
      <c r="G1258" s="4"/>
      <c r="H1258" s="4"/>
      <c r="I1258" s="4"/>
      <c r="J1258" s="4"/>
      <c r="K1258" s="4"/>
      <c r="L1258" s="4"/>
      <c r="M1258" s="4"/>
      <c r="N1258" s="4"/>
      <c r="O1258" s="4"/>
      <c r="P1258" s="4"/>
      <c r="Q1258" s="4"/>
      <c r="R1258" s="4"/>
      <c r="S1258" s="4"/>
      <c r="T1258" s="4"/>
      <c r="U1258" s="4"/>
      <c r="V1258" s="4"/>
      <c r="W1258" s="4"/>
      <c r="X1258" s="4"/>
      <c r="Y1258" s="4"/>
      <c r="Z1258" s="4"/>
      <c r="AA1258" s="4"/>
      <c r="AB1258" s="5"/>
    </row>
    <row r="1259" spans="1:28" x14ac:dyDescent="0.35">
      <c r="A1259" s="3"/>
      <c r="B1259" s="4"/>
      <c r="C1259" s="4"/>
      <c r="D1259" s="4"/>
      <c r="E1259" s="4"/>
      <c r="F1259" s="4"/>
      <c r="G1259" s="4"/>
      <c r="H1259" s="4"/>
      <c r="I1259" s="4"/>
      <c r="J1259" s="4"/>
      <c r="K1259" s="4"/>
      <c r="L1259" s="4"/>
      <c r="M1259" s="4"/>
      <c r="N1259" s="4"/>
      <c r="O1259" s="4"/>
      <c r="P1259" s="4"/>
      <c r="Q1259" s="4"/>
      <c r="R1259" s="4"/>
      <c r="S1259" s="4"/>
      <c r="T1259" s="4"/>
      <c r="U1259" s="4"/>
      <c r="V1259" s="4"/>
      <c r="W1259" s="4"/>
      <c r="X1259" s="4"/>
      <c r="Y1259" s="4"/>
      <c r="Z1259" s="4"/>
      <c r="AA1259" s="4"/>
      <c r="AB1259" s="5"/>
    </row>
    <row r="1260" spans="1:28" x14ac:dyDescent="0.35">
      <c r="A1260" s="3"/>
      <c r="B1260" s="4"/>
      <c r="C1260" s="4"/>
      <c r="D1260" s="4"/>
      <c r="E1260" s="4"/>
      <c r="F1260" s="4"/>
      <c r="G1260" s="4"/>
      <c r="H1260" s="4"/>
      <c r="I1260" s="4"/>
      <c r="J1260" s="4"/>
      <c r="K1260" s="4"/>
      <c r="L1260" s="4"/>
      <c r="M1260" s="4"/>
      <c r="N1260" s="4"/>
      <c r="O1260" s="4"/>
      <c r="P1260" s="4"/>
      <c r="Q1260" s="4"/>
      <c r="R1260" s="4"/>
      <c r="S1260" s="4"/>
      <c r="T1260" s="4"/>
      <c r="U1260" s="4"/>
      <c r="V1260" s="4"/>
      <c r="W1260" s="4"/>
      <c r="X1260" s="4"/>
      <c r="Y1260" s="4"/>
      <c r="Z1260" s="4"/>
      <c r="AA1260" s="4"/>
      <c r="AB1260" s="5"/>
    </row>
    <row r="1261" spans="1:28" x14ac:dyDescent="0.35">
      <c r="A1261" s="3"/>
      <c r="B1261" s="4"/>
      <c r="C1261" s="4"/>
      <c r="D1261" s="4"/>
      <c r="E1261" s="4"/>
      <c r="F1261" s="4"/>
      <c r="G1261" s="4"/>
      <c r="H1261" s="4"/>
      <c r="I1261" s="4"/>
      <c r="J1261" s="4"/>
      <c r="K1261" s="4"/>
      <c r="L1261" s="4"/>
      <c r="M1261" s="4"/>
      <c r="N1261" s="4"/>
      <c r="O1261" s="4"/>
      <c r="P1261" s="4"/>
      <c r="Q1261" s="4"/>
      <c r="R1261" s="4"/>
      <c r="S1261" s="4"/>
      <c r="T1261" s="4"/>
      <c r="U1261" s="4"/>
      <c r="V1261" s="4"/>
      <c r="W1261" s="4"/>
      <c r="X1261" s="4"/>
      <c r="Y1261" s="4"/>
      <c r="Z1261" s="4"/>
      <c r="AA1261" s="4"/>
      <c r="AB1261" s="5"/>
    </row>
    <row r="1262" spans="1:28" x14ac:dyDescent="0.35">
      <c r="A1262" s="3"/>
      <c r="B1262" s="4"/>
      <c r="C1262" s="4"/>
      <c r="D1262" s="4"/>
      <c r="E1262" s="4"/>
      <c r="F1262" s="4"/>
      <c r="G1262" s="4"/>
      <c r="H1262" s="4"/>
      <c r="I1262" s="4"/>
      <c r="J1262" s="4"/>
      <c r="K1262" s="4"/>
      <c r="L1262" s="4"/>
      <c r="M1262" s="4"/>
      <c r="N1262" s="4"/>
      <c r="O1262" s="4"/>
      <c r="P1262" s="4"/>
      <c r="Q1262" s="4"/>
      <c r="R1262" s="4"/>
      <c r="S1262" s="4"/>
      <c r="T1262" s="4"/>
      <c r="U1262" s="4"/>
      <c r="V1262" s="4"/>
      <c r="W1262" s="4"/>
      <c r="X1262" s="4"/>
      <c r="Y1262" s="4"/>
      <c r="Z1262" s="4"/>
      <c r="AA1262" s="4"/>
      <c r="AB1262" s="5"/>
    </row>
    <row r="1263" spans="1:28" x14ac:dyDescent="0.35">
      <c r="A1263" s="3"/>
      <c r="B1263" s="4"/>
      <c r="C1263" s="4"/>
      <c r="D1263" s="4"/>
      <c r="E1263" s="4"/>
      <c r="F1263" s="4"/>
      <c r="G1263" s="4"/>
      <c r="H1263" s="4"/>
      <c r="I1263" s="4"/>
      <c r="J1263" s="4"/>
      <c r="K1263" s="4"/>
      <c r="L1263" s="4"/>
      <c r="M1263" s="4"/>
      <c r="N1263" s="4"/>
      <c r="O1263" s="4"/>
      <c r="P1263" s="4"/>
      <c r="Q1263" s="4"/>
      <c r="R1263" s="4"/>
      <c r="S1263" s="4"/>
      <c r="T1263" s="4"/>
      <c r="U1263" s="4"/>
      <c r="V1263" s="4"/>
      <c r="W1263" s="4"/>
      <c r="X1263" s="4"/>
      <c r="Y1263" s="4"/>
      <c r="Z1263" s="4"/>
      <c r="AA1263" s="4"/>
      <c r="AB1263" s="5"/>
    </row>
    <row r="1264" spans="1:28" x14ac:dyDescent="0.35">
      <c r="A1264" s="3"/>
      <c r="B1264" s="4"/>
      <c r="C1264" s="4"/>
      <c r="D1264" s="4"/>
      <c r="E1264" s="4"/>
      <c r="F1264" s="4"/>
      <c r="G1264" s="4"/>
      <c r="H1264" s="4"/>
      <c r="I1264" s="4"/>
      <c r="J1264" s="4"/>
      <c r="K1264" s="4"/>
      <c r="L1264" s="4"/>
      <c r="M1264" s="4"/>
      <c r="N1264" s="4"/>
      <c r="O1264" s="4"/>
      <c r="P1264" s="4"/>
      <c r="Q1264" s="4"/>
      <c r="R1264" s="4"/>
      <c r="S1264" s="4"/>
      <c r="T1264" s="4"/>
      <c r="U1264" s="4"/>
      <c r="V1264" s="4"/>
      <c r="W1264" s="4"/>
      <c r="X1264" s="4"/>
      <c r="Y1264" s="4"/>
      <c r="Z1264" s="4"/>
      <c r="AA1264" s="4"/>
      <c r="AB1264" s="5"/>
    </row>
    <row r="1265" spans="1:28" x14ac:dyDescent="0.35">
      <c r="A1265" s="3"/>
      <c r="B1265" s="4"/>
      <c r="C1265" s="4"/>
      <c r="D1265" s="4"/>
      <c r="E1265" s="4"/>
      <c r="F1265" s="4"/>
      <c r="G1265" s="4"/>
      <c r="H1265" s="4"/>
      <c r="I1265" s="4"/>
      <c r="J1265" s="4"/>
      <c r="K1265" s="4"/>
      <c r="L1265" s="4"/>
      <c r="M1265" s="4"/>
      <c r="N1265" s="4"/>
      <c r="O1265" s="4"/>
      <c r="P1265" s="4"/>
      <c r="Q1265" s="4"/>
      <c r="R1265" s="4"/>
      <c r="S1265" s="4"/>
      <c r="T1265" s="4"/>
      <c r="U1265" s="4"/>
      <c r="V1265" s="4"/>
      <c r="W1265" s="4"/>
      <c r="X1265" s="4"/>
      <c r="Y1265" s="4"/>
      <c r="Z1265" s="4"/>
      <c r="AA1265" s="4"/>
      <c r="AB1265" s="5"/>
    </row>
    <row r="1266" spans="1:28" x14ac:dyDescent="0.35">
      <c r="A1266" s="3"/>
      <c r="B1266" s="4"/>
      <c r="C1266" s="4"/>
      <c r="D1266" s="4"/>
      <c r="E1266" s="4"/>
      <c r="F1266" s="4"/>
      <c r="G1266" s="4"/>
      <c r="H1266" s="4"/>
      <c r="I1266" s="4"/>
      <c r="J1266" s="4"/>
      <c r="K1266" s="4"/>
      <c r="L1266" s="4"/>
      <c r="M1266" s="4"/>
      <c r="N1266" s="4"/>
      <c r="O1266" s="4"/>
      <c r="P1266" s="4"/>
      <c r="Q1266" s="4"/>
      <c r="R1266" s="4"/>
      <c r="S1266" s="4"/>
      <c r="T1266" s="4"/>
      <c r="U1266" s="4"/>
      <c r="V1266" s="4"/>
      <c r="W1266" s="4"/>
      <c r="X1266" s="4"/>
      <c r="Y1266" s="4"/>
      <c r="Z1266" s="4"/>
      <c r="AA1266" s="4"/>
      <c r="AB1266" s="5"/>
    </row>
    <row r="1267" spans="1:28" x14ac:dyDescent="0.35">
      <c r="A1267" s="3"/>
      <c r="B1267" s="4"/>
      <c r="C1267" s="4"/>
      <c r="D1267" s="4"/>
      <c r="E1267" s="4"/>
      <c r="F1267" s="4"/>
      <c r="G1267" s="4"/>
      <c r="H1267" s="4"/>
      <c r="I1267" s="4"/>
      <c r="J1267" s="4"/>
      <c r="K1267" s="4"/>
      <c r="L1267" s="4"/>
      <c r="M1267" s="4"/>
      <c r="N1267" s="4"/>
      <c r="O1267" s="4"/>
      <c r="P1267" s="4"/>
      <c r="Q1267" s="4"/>
      <c r="R1267" s="4"/>
      <c r="S1267" s="4"/>
      <c r="T1267" s="4"/>
      <c r="U1267" s="4"/>
      <c r="V1267" s="4"/>
      <c r="W1267" s="4"/>
      <c r="X1267" s="4"/>
      <c r="Y1267" s="4"/>
      <c r="Z1267" s="4"/>
      <c r="AA1267" s="4"/>
      <c r="AB1267" s="5"/>
    </row>
    <row r="1268" spans="1:28" x14ac:dyDescent="0.35">
      <c r="A1268" s="3"/>
      <c r="B1268" s="4"/>
      <c r="C1268" s="4"/>
      <c r="D1268" s="4"/>
      <c r="E1268" s="4"/>
      <c r="F1268" s="4"/>
      <c r="G1268" s="4"/>
      <c r="H1268" s="4"/>
      <c r="I1268" s="4"/>
      <c r="J1268" s="4"/>
      <c r="K1268" s="4"/>
      <c r="L1268" s="4"/>
      <c r="M1268" s="4"/>
      <c r="N1268" s="4"/>
      <c r="O1268" s="4"/>
      <c r="P1268" s="4"/>
      <c r="Q1268" s="4"/>
      <c r="R1268" s="4"/>
      <c r="S1268" s="4"/>
      <c r="T1268" s="4"/>
      <c r="U1268" s="4"/>
      <c r="V1268" s="4"/>
      <c r="W1268" s="4"/>
      <c r="X1268" s="4"/>
      <c r="Y1268" s="4"/>
      <c r="Z1268" s="4"/>
      <c r="AA1268" s="4"/>
      <c r="AB1268" s="5"/>
    </row>
    <row r="1269" spans="1:28" x14ac:dyDescent="0.35">
      <c r="A1269" s="3"/>
      <c r="B1269" s="4"/>
      <c r="C1269" s="4"/>
      <c r="D1269" s="4"/>
      <c r="E1269" s="4"/>
      <c r="F1269" s="4"/>
      <c r="G1269" s="4"/>
      <c r="H1269" s="4"/>
      <c r="I1269" s="4"/>
      <c r="J1269" s="4"/>
      <c r="K1269" s="4"/>
      <c r="L1269" s="4"/>
      <c r="M1269" s="4"/>
      <c r="N1269" s="4"/>
      <c r="O1269" s="4"/>
      <c r="P1269" s="4"/>
      <c r="Q1269" s="4"/>
      <c r="R1269" s="4"/>
      <c r="S1269" s="4"/>
      <c r="T1269" s="4"/>
      <c r="U1269" s="4"/>
      <c r="V1269" s="4"/>
      <c r="W1269" s="4"/>
      <c r="X1269" s="4"/>
      <c r="Y1269" s="4"/>
      <c r="Z1269" s="4"/>
      <c r="AA1269" s="4"/>
      <c r="AB1269" s="5"/>
    </row>
    <row r="1270" spans="1:28" x14ac:dyDescent="0.35">
      <c r="A1270" s="3"/>
      <c r="B1270" s="4"/>
      <c r="C1270" s="4"/>
      <c r="D1270" s="4"/>
      <c r="E1270" s="4"/>
      <c r="F1270" s="4"/>
      <c r="G1270" s="4"/>
      <c r="H1270" s="4"/>
      <c r="I1270" s="4"/>
      <c r="J1270" s="4"/>
      <c r="K1270" s="4"/>
      <c r="L1270" s="4"/>
      <c r="M1270" s="4"/>
      <c r="N1270" s="4"/>
      <c r="O1270" s="4"/>
      <c r="P1270" s="4"/>
      <c r="Q1270" s="4"/>
      <c r="R1270" s="4"/>
      <c r="S1270" s="4"/>
      <c r="T1270" s="4"/>
      <c r="U1270" s="4"/>
      <c r="V1270" s="4"/>
      <c r="W1270" s="4"/>
      <c r="X1270" s="4"/>
      <c r="Y1270" s="4"/>
      <c r="Z1270" s="4"/>
      <c r="AA1270" s="4"/>
      <c r="AB1270" s="5"/>
    </row>
    <row r="1271" spans="1:28" x14ac:dyDescent="0.35">
      <c r="A1271" s="3"/>
      <c r="B1271" s="4"/>
      <c r="C1271" s="4"/>
      <c r="D1271" s="4"/>
      <c r="E1271" s="4"/>
      <c r="F1271" s="4"/>
      <c r="G1271" s="4"/>
      <c r="H1271" s="4"/>
      <c r="I1271" s="4"/>
      <c r="J1271" s="4"/>
      <c r="K1271" s="4"/>
      <c r="L1271" s="4"/>
      <c r="M1271" s="4"/>
      <c r="N1271" s="4"/>
      <c r="O1271" s="4"/>
      <c r="P1271" s="4"/>
      <c r="Q1271" s="4"/>
      <c r="R1271" s="4"/>
      <c r="S1271" s="4"/>
      <c r="T1271" s="4"/>
      <c r="U1271" s="4"/>
      <c r="V1271" s="4"/>
      <c r="W1271" s="4"/>
      <c r="X1271" s="4"/>
      <c r="Y1271" s="4"/>
      <c r="Z1271" s="4"/>
      <c r="AA1271" s="4"/>
      <c r="AB1271" s="5"/>
    </row>
    <row r="1272" spans="1:28" x14ac:dyDescent="0.35">
      <c r="A1272" s="3"/>
      <c r="B1272" s="4"/>
      <c r="C1272" s="4"/>
      <c r="D1272" s="4"/>
      <c r="E1272" s="4"/>
      <c r="F1272" s="4"/>
      <c r="G1272" s="4"/>
      <c r="H1272" s="4"/>
      <c r="I1272" s="4"/>
      <c r="J1272" s="4"/>
      <c r="K1272" s="4"/>
      <c r="L1272" s="4"/>
      <c r="M1272" s="4"/>
      <c r="N1272" s="4"/>
      <c r="O1272" s="4"/>
      <c r="P1272" s="4"/>
      <c r="Q1272" s="4"/>
      <c r="R1272" s="4"/>
      <c r="S1272" s="4"/>
      <c r="T1272" s="4"/>
      <c r="U1272" s="4"/>
      <c r="V1272" s="4"/>
      <c r="W1272" s="4"/>
      <c r="X1272" s="4"/>
      <c r="Y1272" s="4"/>
      <c r="Z1272" s="4"/>
      <c r="AA1272" s="4"/>
      <c r="AB1272" s="5"/>
    </row>
    <row r="1273" spans="1:28" x14ac:dyDescent="0.35">
      <c r="A1273" s="3"/>
      <c r="B1273" s="4"/>
      <c r="C1273" s="4"/>
      <c r="D1273" s="4"/>
      <c r="E1273" s="4"/>
      <c r="F1273" s="4"/>
      <c r="G1273" s="4"/>
      <c r="H1273" s="4"/>
      <c r="I1273" s="4"/>
      <c r="J1273" s="4"/>
      <c r="K1273" s="4"/>
      <c r="L1273" s="4"/>
      <c r="M1273" s="4"/>
      <c r="N1273" s="4"/>
      <c r="O1273" s="4"/>
      <c r="P1273" s="4"/>
      <c r="Q1273" s="4"/>
      <c r="R1273" s="4"/>
      <c r="S1273" s="4"/>
      <c r="T1273" s="4"/>
      <c r="U1273" s="4"/>
      <c r="V1273" s="4"/>
      <c r="W1273" s="4"/>
      <c r="X1273" s="4"/>
      <c r="Y1273" s="4"/>
      <c r="Z1273" s="4"/>
      <c r="AA1273" s="4"/>
      <c r="AB1273" s="5"/>
    </row>
    <row r="1274" spans="1:28" x14ac:dyDescent="0.35">
      <c r="A1274" s="3"/>
      <c r="B1274" s="4"/>
      <c r="C1274" s="4"/>
      <c r="D1274" s="4"/>
      <c r="E1274" s="4"/>
      <c r="F1274" s="4"/>
      <c r="G1274" s="4"/>
      <c r="H1274" s="4"/>
      <c r="I1274" s="4"/>
      <c r="J1274" s="4"/>
      <c r="K1274" s="4"/>
      <c r="L1274" s="4"/>
      <c r="M1274" s="4"/>
      <c r="N1274" s="4"/>
      <c r="O1274" s="4"/>
      <c r="P1274" s="4"/>
      <c r="Q1274" s="4"/>
      <c r="R1274" s="4"/>
      <c r="S1274" s="4"/>
      <c r="T1274" s="4"/>
      <c r="U1274" s="4"/>
      <c r="V1274" s="4"/>
      <c r="W1274" s="4"/>
      <c r="X1274" s="4"/>
      <c r="Y1274" s="4"/>
      <c r="Z1274" s="4"/>
      <c r="AA1274" s="4"/>
      <c r="AB1274" s="5"/>
    </row>
    <row r="1275" spans="1:28" x14ac:dyDescent="0.35">
      <c r="A1275" s="3"/>
      <c r="B1275" s="4"/>
      <c r="C1275" s="4"/>
      <c r="D1275" s="4"/>
      <c r="E1275" s="4"/>
      <c r="F1275" s="4"/>
      <c r="G1275" s="4"/>
      <c r="H1275" s="4"/>
      <c r="I1275" s="4"/>
      <c r="J1275" s="4"/>
      <c r="K1275" s="4"/>
      <c r="L1275" s="4"/>
      <c r="M1275" s="4"/>
      <c r="N1275" s="4"/>
      <c r="O1275" s="4"/>
      <c r="P1275" s="4"/>
      <c r="Q1275" s="4"/>
      <c r="R1275" s="4"/>
      <c r="S1275" s="4"/>
      <c r="T1275" s="4"/>
      <c r="U1275" s="4"/>
      <c r="V1275" s="4"/>
      <c r="W1275" s="4"/>
      <c r="X1275" s="4"/>
      <c r="Y1275" s="4"/>
      <c r="Z1275" s="4"/>
      <c r="AA1275" s="4"/>
      <c r="AB1275" s="5"/>
    </row>
    <row r="1276" spans="1:28" x14ac:dyDescent="0.35">
      <c r="A1276" s="3"/>
      <c r="B1276" s="4"/>
      <c r="C1276" s="4"/>
      <c r="D1276" s="4"/>
      <c r="E1276" s="4"/>
      <c r="F1276" s="4"/>
      <c r="G1276" s="4"/>
      <c r="H1276" s="4"/>
      <c r="I1276" s="4"/>
      <c r="J1276" s="4"/>
      <c r="K1276" s="4"/>
      <c r="L1276" s="4"/>
      <c r="M1276" s="4"/>
      <c r="N1276" s="4"/>
      <c r="O1276" s="4"/>
      <c r="P1276" s="4"/>
      <c r="Q1276" s="4"/>
      <c r="R1276" s="4"/>
      <c r="S1276" s="4"/>
      <c r="T1276" s="4"/>
      <c r="U1276" s="4"/>
      <c r="V1276" s="4"/>
      <c r="W1276" s="4"/>
      <c r="X1276" s="4"/>
      <c r="Y1276" s="4"/>
      <c r="Z1276" s="4"/>
      <c r="AA1276" s="4"/>
      <c r="AB1276" s="5"/>
    </row>
    <row r="1277" spans="1:28" x14ac:dyDescent="0.35">
      <c r="A1277" s="3"/>
      <c r="B1277" s="4"/>
      <c r="C1277" s="4"/>
      <c r="D1277" s="4"/>
      <c r="E1277" s="4"/>
      <c r="F1277" s="4"/>
      <c r="G1277" s="4"/>
      <c r="H1277" s="4"/>
      <c r="I1277" s="4"/>
      <c r="J1277" s="4"/>
      <c r="K1277" s="4"/>
      <c r="L1277" s="4"/>
      <c r="M1277" s="4"/>
      <c r="N1277" s="4"/>
      <c r="O1277" s="4"/>
      <c r="P1277" s="4"/>
      <c r="Q1277" s="4"/>
      <c r="R1277" s="4"/>
      <c r="S1277" s="4"/>
      <c r="T1277" s="4"/>
      <c r="U1277" s="4"/>
      <c r="V1277" s="4"/>
      <c r="W1277" s="4"/>
      <c r="X1277" s="4"/>
      <c r="Y1277" s="4"/>
      <c r="Z1277" s="4"/>
      <c r="AA1277" s="4"/>
      <c r="AB1277" s="5"/>
    </row>
    <row r="1278" spans="1:28" x14ac:dyDescent="0.35">
      <c r="A1278" s="3"/>
      <c r="B1278" s="4"/>
      <c r="C1278" s="4"/>
      <c r="D1278" s="4"/>
      <c r="E1278" s="4"/>
      <c r="F1278" s="4"/>
      <c r="G1278" s="4"/>
      <c r="H1278" s="4"/>
      <c r="I1278" s="4"/>
      <c r="J1278" s="4"/>
      <c r="K1278" s="4"/>
      <c r="L1278" s="4"/>
      <c r="M1278" s="4"/>
      <c r="N1278" s="4"/>
      <c r="O1278" s="4"/>
      <c r="P1278" s="4"/>
      <c r="Q1278" s="4"/>
      <c r="R1278" s="4"/>
      <c r="S1278" s="4"/>
      <c r="T1278" s="4"/>
      <c r="U1278" s="4"/>
      <c r="V1278" s="4"/>
      <c r="W1278" s="4"/>
      <c r="X1278" s="4"/>
      <c r="Y1278" s="4"/>
      <c r="Z1278" s="4"/>
      <c r="AA1278" s="4"/>
      <c r="AB1278" s="5"/>
    </row>
    <row r="1279" spans="1:28" x14ac:dyDescent="0.35">
      <c r="A1279" s="3"/>
      <c r="B1279" s="4"/>
      <c r="C1279" s="4"/>
      <c r="D1279" s="4"/>
      <c r="E1279" s="4"/>
      <c r="F1279" s="4"/>
      <c r="G1279" s="4"/>
      <c r="H1279" s="4"/>
      <c r="I1279" s="4"/>
      <c r="J1279" s="4"/>
      <c r="K1279" s="4"/>
      <c r="L1279" s="4"/>
      <c r="M1279" s="4"/>
      <c r="N1279" s="4"/>
      <c r="O1279" s="4"/>
      <c r="P1279" s="4"/>
      <c r="Q1279" s="4"/>
      <c r="R1279" s="4"/>
      <c r="S1279" s="4"/>
      <c r="T1279" s="4"/>
      <c r="U1279" s="4"/>
      <c r="V1279" s="4"/>
      <c r="W1279" s="4"/>
      <c r="X1279" s="4"/>
      <c r="Y1279" s="4"/>
      <c r="Z1279" s="4"/>
      <c r="AA1279" s="4"/>
      <c r="AB1279" s="5"/>
    </row>
    <row r="1280" spans="1:28" x14ac:dyDescent="0.35">
      <c r="A1280" s="3"/>
      <c r="B1280" s="4"/>
      <c r="C1280" s="4"/>
      <c r="D1280" s="4"/>
      <c r="E1280" s="4"/>
      <c r="F1280" s="4"/>
      <c r="G1280" s="4"/>
      <c r="H1280" s="4"/>
      <c r="I1280" s="4"/>
      <c r="J1280" s="4"/>
      <c r="K1280" s="4"/>
      <c r="L1280" s="4"/>
      <c r="M1280" s="4"/>
      <c r="N1280" s="4"/>
      <c r="O1280" s="4"/>
      <c r="P1280" s="4"/>
      <c r="Q1280" s="4"/>
      <c r="R1280" s="4"/>
      <c r="S1280" s="4"/>
      <c r="T1280" s="4"/>
      <c r="U1280" s="4"/>
      <c r="V1280" s="4"/>
      <c r="W1280" s="4"/>
      <c r="X1280" s="4"/>
      <c r="Y1280" s="4"/>
      <c r="Z1280" s="4"/>
      <c r="AA1280" s="4"/>
      <c r="AB1280" s="5"/>
    </row>
    <row r="1281" spans="1:28" x14ac:dyDescent="0.35">
      <c r="A1281" s="3"/>
      <c r="B1281" s="4"/>
      <c r="C1281" s="4"/>
      <c r="D1281" s="4"/>
      <c r="E1281" s="4"/>
      <c r="F1281" s="4"/>
      <c r="G1281" s="4"/>
      <c r="H1281" s="4"/>
      <c r="I1281" s="4"/>
      <c r="J1281" s="4"/>
      <c r="K1281" s="4"/>
      <c r="L1281" s="4"/>
      <c r="M1281" s="4"/>
      <c r="N1281" s="4"/>
      <c r="O1281" s="4"/>
      <c r="P1281" s="4"/>
      <c r="Q1281" s="4"/>
      <c r="R1281" s="4"/>
      <c r="S1281" s="4"/>
      <c r="T1281" s="4"/>
      <c r="U1281" s="4"/>
      <c r="V1281" s="4"/>
      <c r="W1281" s="4"/>
      <c r="X1281" s="4"/>
      <c r="Y1281" s="4"/>
      <c r="Z1281" s="4"/>
      <c r="AA1281" s="4"/>
      <c r="AB1281" s="5"/>
    </row>
    <row r="1282" spans="1:28" x14ac:dyDescent="0.35">
      <c r="A1282" s="3"/>
      <c r="B1282" s="4"/>
      <c r="C1282" s="4"/>
      <c r="D1282" s="4"/>
      <c r="E1282" s="4"/>
      <c r="F1282" s="4"/>
      <c r="G1282" s="4"/>
      <c r="H1282" s="4"/>
      <c r="I1282" s="4"/>
      <c r="J1282" s="4"/>
      <c r="K1282" s="4"/>
      <c r="L1282" s="4"/>
      <c r="M1282" s="4"/>
      <c r="N1282" s="4"/>
      <c r="O1282" s="4"/>
      <c r="P1282" s="4"/>
      <c r="Q1282" s="4"/>
      <c r="R1282" s="4"/>
      <c r="S1282" s="4"/>
      <c r="T1282" s="4"/>
      <c r="U1282" s="4"/>
      <c r="V1282" s="4"/>
      <c r="W1282" s="4"/>
      <c r="X1282" s="4"/>
      <c r="Y1282" s="4"/>
      <c r="Z1282" s="4"/>
      <c r="AA1282" s="4"/>
      <c r="AB1282" s="5"/>
    </row>
    <row r="1283" spans="1:28" x14ac:dyDescent="0.35">
      <c r="A1283" s="3"/>
      <c r="B1283" s="4"/>
      <c r="C1283" s="4"/>
      <c r="D1283" s="4"/>
      <c r="E1283" s="4"/>
      <c r="F1283" s="4"/>
      <c r="G1283" s="4"/>
      <c r="H1283" s="4"/>
      <c r="I1283" s="4"/>
      <c r="J1283" s="4"/>
      <c r="K1283" s="4"/>
      <c r="L1283" s="4"/>
      <c r="M1283" s="4"/>
      <c r="N1283" s="4"/>
      <c r="O1283" s="4"/>
      <c r="P1283" s="4"/>
      <c r="Q1283" s="4"/>
      <c r="R1283" s="4"/>
      <c r="S1283" s="4"/>
      <c r="T1283" s="4"/>
      <c r="U1283" s="4"/>
      <c r="V1283" s="4"/>
      <c r="W1283" s="4"/>
      <c r="X1283" s="4"/>
      <c r="Y1283" s="4"/>
      <c r="Z1283" s="4"/>
      <c r="AA1283" s="4"/>
      <c r="AB1283" s="5"/>
    </row>
    <row r="1284" spans="1:28" x14ac:dyDescent="0.35">
      <c r="A1284" s="3"/>
      <c r="B1284" s="4"/>
      <c r="C1284" s="4"/>
      <c r="D1284" s="4"/>
      <c r="E1284" s="4"/>
      <c r="F1284" s="4"/>
      <c r="G1284" s="4"/>
      <c r="H1284" s="4"/>
      <c r="I1284" s="4"/>
      <c r="J1284" s="4"/>
      <c r="K1284" s="4"/>
      <c r="L1284" s="4"/>
      <c r="M1284" s="4"/>
      <c r="N1284" s="4"/>
      <c r="O1284" s="4"/>
      <c r="P1284" s="4"/>
      <c r="Q1284" s="4"/>
      <c r="R1284" s="4"/>
      <c r="S1284" s="4"/>
      <c r="T1284" s="4"/>
      <c r="U1284" s="4"/>
      <c r="V1284" s="4"/>
      <c r="W1284" s="4"/>
      <c r="X1284" s="4"/>
      <c r="Y1284" s="4"/>
      <c r="Z1284" s="4"/>
      <c r="AA1284" s="4"/>
      <c r="AB1284" s="5"/>
    </row>
    <row r="1285" spans="1:28" x14ac:dyDescent="0.35">
      <c r="A1285" s="3"/>
      <c r="B1285" s="4"/>
      <c r="C1285" s="4"/>
      <c r="D1285" s="4"/>
      <c r="E1285" s="4"/>
      <c r="F1285" s="4"/>
      <c r="G1285" s="4"/>
      <c r="H1285" s="4"/>
      <c r="I1285" s="4"/>
      <c r="J1285" s="4"/>
      <c r="K1285" s="4"/>
      <c r="L1285" s="4"/>
      <c r="M1285" s="4"/>
      <c r="N1285" s="4"/>
      <c r="O1285" s="4"/>
      <c r="P1285" s="4"/>
      <c r="Q1285" s="4"/>
      <c r="R1285" s="4"/>
      <c r="S1285" s="4"/>
      <c r="T1285" s="4"/>
      <c r="U1285" s="4"/>
      <c r="V1285" s="4"/>
      <c r="W1285" s="4"/>
      <c r="X1285" s="4"/>
      <c r="Y1285" s="4"/>
      <c r="Z1285" s="4"/>
      <c r="AA1285" s="4"/>
      <c r="AB1285" s="5"/>
    </row>
    <row r="1286" spans="1:28" x14ac:dyDescent="0.35">
      <c r="A1286" s="3"/>
      <c r="B1286" s="4"/>
      <c r="C1286" s="4"/>
      <c r="D1286" s="4"/>
      <c r="E1286" s="4"/>
      <c r="F1286" s="4"/>
      <c r="G1286" s="4"/>
      <c r="H1286" s="4"/>
      <c r="I1286" s="4"/>
      <c r="J1286" s="4"/>
      <c r="K1286" s="4"/>
      <c r="L1286" s="4"/>
      <c r="M1286" s="4"/>
      <c r="N1286" s="4"/>
      <c r="O1286" s="4"/>
      <c r="P1286" s="4"/>
      <c r="Q1286" s="4"/>
      <c r="R1286" s="4"/>
      <c r="S1286" s="4"/>
      <c r="T1286" s="4"/>
      <c r="U1286" s="4"/>
      <c r="V1286" s="4"/>
      <c r="W1286" s="4"/>
      <c r="X1286" s="4"/>
      <c r="Y1286" s="4"/>
      <c r="Z1286" s="4"/>
      <c r="AA1286" s="4"/>
      <c r="AB1286" s="5"/>
    </row>
    <row r="1287" spans="1:28" x14ac:dyDescent="0.35">
      <c r="A1287" s="3"/>
      <c r="B1287" s="4"/>
      <c r="C1287" s="4"/>
      <c r="D1287" s="4"/>
      <c r="E1287" s="4"/>
      <c r="F1287" s="4"/>
      <c r="G1287" s="4"/>
      <c r="H1287" s="4"/>
      <c r="I1287" s="4"/>
      <c r="J1287" s="4"/>
      <c r="K1287" s="4"/>
      <c r="L1287" s="4"/>
      <c r="M1287" s="4"/>
      <c r="N1287" s="4"/>
      <c r="O1287" s="4"/>
      <c r="P1287" s="4"/>
      <c r="Q1287" s="4"/>
      <c r="R1287" s="4"/>
      <c r="S1287" s="4"/>
      <c r="T1287" s="4"/>
      <c r="U1287" s="4"/>
      <c r="V1287" s="4"/>
      <c r="W1287" s="4"/>
      <c r="X1287" s="4"/>
      <c r="Y1287" s="4"/>
      <c r="Z1287" s="4"/>
      <c r="AA1287" s="4"/>
      <c r="AB1287" s="5"/>
    </row>
    <row r="1288" spans="1:28" x14ac:dyDescent="0.35">
      <c r="A1288" s="3"/>
      <c r="B1288" s="4"/>
      <c r="C1288" s="4"/>
      <c r="D1288" s="4"/>
      <c r="E1288" s="4"/>
      <c r="F1288" s="4"/>
      <c r="G1288" s="4"/>
      <c r="H1288" s="4"/>
      <c r="I1288" s="4"/>
      <c r="J1288" s="4"/>
      <c r="K1288" s="4"/>
      <c r="L1288" s="4"/>
      <c r="M1288" s="4"/>
      <c r="N1288" s="4"/>
      <c r="O1288" s="4"/>
      <c r="P1288" s="4"/>
      <c r="Q1288" s="4"/>
      <c r="R1288" s="4"/>
      <c r="S1288" s="4"/>
      <c r="T1288" s="4"/>
      <c r="U1288" s="4"/>
      <c r="V1288" s="4"/>
      <c r="W1288" s="4"/>
      <c r="X1288" s="4"/>
      <c r="Y1288" s="4"/>
      <c r="Z1288" s="4"/>
      <c r="AA1288" s="4"/>
      <c r="AB1288" s="5"/>
    </row>
    <row r="1289" spans="1:28" x14ac:dyDescent="0.35">
      <c r="A1289" s="3"/>
      <c r="B1289" s="4"/>
      <c r="C1289" s="4"/>
      <c r="D1289" s="4"/>
      <c r="E1289" s="4"/>
      <c r="F1289" s="4"/>
      <c r="G1289" s="4"/>
      <c r="H1289" s="4"/>
      <c r="I1289" s="4"/>
      <c r="J1289" s="4"/>
      <c r="K1289" s="4"/>
      <c r="L1289" s="4"/>
      <c r="M1289" s="4"/>
      <c r="N1289" s="4"/>
      <c r="O1289" s="4"/>
      <c r="P1289" s="4"/>
      <c r="Q1289" s="4"/>
      <c r="R1289" s="4"/>
      <c r="S1289" s="4"/>
      <c r="T1289" s="4"/>
      <c r="U1289" s="4"/>
      <c r="V1289" s="4"/>
      <c r="W1289" s="4"/>
      <c r="X1289" s="4"/>
      <c r="Y1289" s="4"/>
      <c r="Z1289" s="4"/>
      <c r="AA1289" s="4"/>
      <c r="AB1289" s="5"/>
    </row>
    <row r="1290" spans="1:28" x14ac:dyDescent="0.35">
      <c r="A1290" s="3"/>
      <c r="B1290" s="4"/>
      <c r="C1290" s="4"/>
      <c r="D1290" s="4"/>
      <c r="E1290" s="4"/>
      <c r="F1290" s="4"/>
      <c r="G1290" s="4"/>
      <c r="H1290" s="4"/>
      <c r="I1290" s="4"/>
      <c r="J1290" s="4"/>
      <c r="K1290" s="4"/>
      <c r="L1290" s="4"/>
      <c r="M1290" s="4"/>
      <c r="N1290" s="4"/>
      <c r="O1290" s="4"/>
      <c r="P1290" s="4"/>
      <c r="Q1290" s="4"/>
      <c r="R1290" s="4"/>
      <c r="S1290" s="4"/>
      <c r="T1290" s="4"/>
      <c r="U1290" s="4"/>
      <c r="V1290" s="4"/>
      <c r="W1290" s="4"/>
      <c r="X1290" s="4"/>
      <c r="Y1290" s="4"/>
      <c r="Z1290" s="4"/>
      <c r="AA1290" s="4"/>
      <c r="AB1290" s="5"/>
    </row>
    <row r="1291" spans="1:28" x14ac:dyDescent="0.35">
      <c r="A1291" s="3"/>
      <c r="B1291" s="4"/>
      <c r="C1291" s="4"/>
      <c r="D1291" s="4"/>
      <c r="E1291" s="4"/>
      <c r="F1291" s="4"/>
      <c r="G1291" s="4"/>
      <c r="H1291" s="4"/>
      <c r="I1291" s="4"/>
      <c r="J1291" s="4"/>
      <c r="K1291" s="4"/>
      <c r="L1291" s="4"/>
      <c r="M1291" s="4"/>
      <c r="N1291" s="4"/>
      <c r="O1291" s="4"/>
      <c r="P1291" s="4"/>
      <c r="Q1291" s="4"/>
      <c r="R1291" s="4"/>
      <c r="S1291" s="4"/>
      <c r="T1291" s="4"/>
      <c r="U1291" s="4"/>
      <c r="V1291" s="4"/>
      <c r="W1291" s="4"/>
      <c r="X1291" s="4"/>
      <c r="Y1291" s="4"/>
      <c r="Z1291" s="4"/>
      <c r="AA1291" s="4"/>
      <c r="AB1291" s="5"/>
    </row>
    <row r="1292" spans="1:28" x14ac:dyDescent="0.35">
      <c r="A1292" s="3"/>
      <c r="B1292" s="4"/>
      <c r="C1292" s="4"/>
      <c r="D1292" s="4"/>
      <c r="E1292" s="4"/>
      <c r="F1292" s="4"/>
      <c r="G1292" s="4"/>
      <c r="H1292" s="4"/>
      <c r="I1292" s="4"/>
      <c r="J1292" s="4"/>
      <c r="K1292" s="4"/>
      <c r="L1292" s="4"/>
      <c r="M1292" s="4"/>
      <c r="N1292" s="4"/>
      <c r="O1292" s="4"/>
      <c r="P1292" s="4"/>
      <c r="Q1292" s="4"/>
      <c r="R1292" s="4"/>
      <c r="S1292" s="4"/>
      <c r="T1292" s="4"/>
      <c r="U1292" s="4"/>
      <c r="V1292" s="4"/>
      <c r="W1292" s="4"/>
      <c r="X1292" s="4"/>
      <c r="Y1292" s="4"/>
      <c r="Z1292" s="4"/>
      <c r="AA1292" s="4"/>
      <c r="AB1292" s="5"/>
    </row>
    <row r="1293" spans="1:28" x14ac:dyDescent="0.35">
      <c r="A1293" s="3"/>
      <c r="B1293" s="4"/>
      <c r="C1293" s="4"/>
      <c r="D1293" s="4"/>
      <c r="E1293" s="4"/>
      <c r="F1293" s="4"/>
      <c r="G1293" s="4"/>
      <c r="H1293" s="4"/>
      <c r="I1293" s="4"/>
      <c r="J1293" s="4"/>
      <c r="K1293" s="4"/>
      <c r="L1293" s="4"/>
      <c r="M1293" s="4"/>
      <c r="N1293" s="4"/>
      <c r="O1293" s="4"/>
      <c r="P1293" s="4"/>
      <c r="Q1293" s="4"/>
      <c r="R1293" s="4"/>
      <c r="S1293" s="4"/>
      <c r="T1293" s="4"/>
      <c r="U1293" s="4"/>
      <c r="V1293" s="4"/>
      <c r="W1293" s="4"/>
      <c r="X1293" s="4"/>
      <c r="Y1293" s="4"/>
      <c r="Z1293" s="4"/>
      <c r="AA1293" s="4"/>
      <c r="AB1293" s="5"/>
    </row>
    <row r="1294" spans="1:28" x14ac:dyDescent="0.35">
      <c r="A1294" s="3"/>
      <c r="B1294" s="4"/>
      <c r="C1294" s="4"/>
      <c r="D1294" s="4"/>
      <c r="E1294" s="4"/>
      <c r="F1294" s="4"/>
      <c r="G1294" s="4"/>
      <c r="H1294" s="4"/>
      <c r="I1294" s="4"/>
      <c r="J1294" s="4"/>
      <c r="K1294" s="4"/>
      <c r="L1294" s="4"/>
      <c r="M1294" s="4"/>
      <c r="N1294" s="4"/>
      <c r="O1294" s="4"/>
      <c r="P1294" s="4"/>
      <c r="Q1294" s="4"/>
      <c r="R1294" s="4"/>
      <c r="S1294" s="4"/>
      <c r="T1294" s="4"/>
      <c r="U1294" s="4"/>
      <c r="V1294" s="4"/>
      <c r="W1294" s="4"/>
      <c r="X1294" s="4"/>
      <c r="Y1294" s="4"/>
      <c r="Z1294" s="4"/>
      <c r="AA1294" s="4"/>
      <c r="AB1294" s="5"/>
    </row>
    <row r="1295" spans="1:28" x14ac:dyDescent="0.35">
      <c r="A1295" s="3"/>
      <c r="B1295" s="4"/>
      <c r="C1295" s="4"/>
      <c r="D1295" s="4"/>
      <c r="E1295" s="4"/>
      <c r="F1295" s="4"/>
      <c r="G1295" s="4"/>
      <c r="H1295" s="4"/>
      <c r="I1295" s="4"/>
      <c r="J1295" s="4"/>
      <c r="K1295" s="4"/>
      <c r="L1295" s="4"/>
      <c r="M1295" s="4"/>
      <c r="N1295" s="4"/>
      <c r="O1295" s="4"/>
      <c r="P1295" s="4"/>
      <c r="Q1295" s="4"/>
      <c r="R1295" s="4"/>
      <c r="S1295" s="4"/>
      <c r="T1295" s="4"/>
      <c r="U1295" s="4"/>
      <c r="V1295" s="4"/>
      <c r="W1295" s="4"/>
      <c r="X1295" s="4"/>
      <c r="Y1295" s="4"/>
      <c r="Z1295" s="4"/>
      <c r="AA1295" s="4"/>
      <c r="AB1295" s="5"/>
    </row>
    <row r="1296" spans="1:28" x14ac:dyDescent="0.35">
      <c r="A1296" s="3"/>
      <c r="B1296" s="4"/>
      <c r="C1296" s="4"/>
      <c r="D1296" s="4"/>
      <c r="E1296" s="4"/>
      <c r="F1296" s="4"/>
      <c r="G1296" s="4"/>
      <c r="H1296" s="4"/>
      <c r="I1296" s="4"/>
      <c r="J1296" s="4"/>
      <c r="K1296" s="4"/>
      <c r="L1296" s="4"/>
      <c r="M1296" s="4"/>
      <c r="N1296" s="4"/>
      <c r="O1296" s="4"/>
      <c r="P1296" s="4"/>
      <c r="Q1296" s="4"/>
      <c r="R1296" s="4"/>
      <c r="S1296" s="4"/>
      <c r="T1296" s="4"/>
      <c r="U1296" s="4"/>
      <c r="V1296" s="4"/>
      <c r="W1296" s="4"/>
      <c r="X1296" s="4"/>
      <c r="Y1296" s="4"/>
      <c r="Z1296" s="4"/>
      <c r="AA1296" s="4"/>
      <c r="AB1296" s="5"/>
    </row>
    <row r="1297" spans="1:28" x14ac:dyDescent="0.35">
      <c r="A1297" s="3"/>
      <c r="B1297" s="4"/>
      <c r="C1297" s="4"/>
      <c r="D1297" s="4"/>
      <c r="E1297" s="4"/>
      <c r="F1297" s="4"/>
      <c r="G1297" s="4"/>
      <c r="H1297" s="4"/>
      <c r="I1297" s="4"/>
      <c r="J1297" s="4"/>
      <c r="K1297" s="4"/>
      <c r="L1297" s="4"/>
      <c r="M1297" s="4"/>
      <c r="N1297" s="4"/>
      <c r="O1297" s="4"/>
      <c r="P1297" s="4"/>
      <c r="Q1297" s="4"/>
      <c r="R1297" s="4"/>
      <c r="S1297" s="4"/>
      <c r="T1297" s="4"/>
      <c r="U1297" s="4"/>
      <c r="V1297" s="4"/>
      <c r="W1297" s="4"/>
      <c r="X1297" s="4"/>
      <c r="Y1297" s="4"/>
      <c r="Z1297" s="4"/>
      <c r="AA1297" s="4"/>
      <c r="AB1297" s="5"/>
    </row>
    <row r="1298" spans="1:28" x14ac:dyDescent="0.35">
      <c r="A1298" s="3"/>
      <c r="B1298" s="4"/>
      <c r="C1298" s="4"/>
      <c r="D1298" s="4"/>
      <c r="E1298" s="4"/>
      <c r="F1298" s="4"/>
      <c r="G1298" s="4"/>
      <c r="H1298" s="4"/>
      <c r="I1298" s="4"/>
      <c r="J1298" s="4"/>
      <c r="K1298" s="4"/>
      <c r="L1298" s="4"/>
      <c r="M1298" s="4"/>
      <c r="N1298" s="4"/>
      <c r="O1298" s="4"/>
      <c r="P1298" s="4"/>
      <c r="Q1298" s="4"/>
      <c r="R1298" s="4"/>
      <c r="S1298" s="4"/>
      <c r="T1298" s="4"/>
      <c r="U1298" s="4"/>
      <c r="V1298" s="4"/>
      <c r="W1298" s="4"/>
      <c r="X1298" s="4"/>
      <c r="Y1298" s="4"/>
      <c r="Z1298" s="4"/>
      <c r="AA1298" s="4"/>
      <c r="AB1298" s="5"/>
    </row>
    <row r="1299" spans="1:28" x14ac:dyDescent="0.35">
      <c r="A1299" s="3"/>
      <c r="B1299" s="4"/>
      <c r="C1299" s="4"/>
      <c r="D1299" s="4"/>
      <c r="E1299" s="4"/>
      <c r="F1299" s="4"/>
      <c r="G1299" s="4"/>
      <c r="H1299" s="4"/>
      <c r="I1299" s="4"/>
      <c r="J1299" s="4"/>
      <c r="K1299" s="4"/>
      <c r="L1299" s="4"/>
      <c r="M1299" s="4"/>
      <c r="N1299" s="4"/>
      <c r="O1299" s="4"/>
      <c r="P1299" s="4"/>
      <c r="Q1299" s="4"/>
      <c r="R1299" s="4"/>
      <c r="S1299" s="4"/>
      <c r="T1299" s="4"/>
      <c r="U1299" s="4"/>
      <c r="V1299" s="4"/>
      <c r="W1299" s="4"/>
      <c r="X1299" s="4"/>
      <c r="Y1299" s="4"/>
      <c r="Z1299" s="4"/>
      <c r="AA1299" s="4"/>
      <c r="AB1299" s="5"/>
    </row>
    <row r="1300" spans="1:28" x14ac:dyDescent="0.35">
      <c r="A1300" s="3"/>
      <c r="B1300" s="4"/>
      <c r="C1300" s="4"/>
      <c r="D1300" s="4"/>
      <c r="E1300" s="4"/>
      <c r="F1300" s="4"/>
      <c r="G1300" s="4"/>
      <c r="H1300" s="4"/>
      <c r="I1300" s="4"/>
      <c r="J1300" s="4"/>
      <c r="K1300" s="4"/>
      <c r="L1300" s="4"/>
      <c r="M1300" s="4"/>
      <c r="N1300" s="4"/>
      <c r="O1300" s="4"/>
      <c r="P1300" s="4"/>
      <c r="Q1300" s="4"/>
      <c r="R1300" s="4"/>
      <c r="S1300" s="4"/>
      <c r="T1300" s="4"/>
      <c r="U1300" s="4"/>
      <c r="V1300" s="4"/>
      <c r="W1300" s="4"/>
      <c r="X1300" s="4"/>
      <c r="Y1300" s="4"/>
      <c r="Z1300" s="4"/>
      <c r="AA1300" s="4"/>
      <c r="AB1300" s="5"/>
    </row>
    <row r="1301" spans="1:28" x14ac:dyDescent="0.35">
      <c r="A1301" s="3"/>
      <c r="B1301" s="4"/>
      <c r="C1301" s="4"/>
      <c r="D1301" s="4"/>
      <c r="E1301" s="4"/>
      <c r="F1301" s="4"/>
      <c r="G1301" s="4"/>
      <c r="H1301" s="4"/>
      <c r="I1301" s="4"/>
      <c r="J1301" s="4"/>
      <c r="K1301" s="4"/>
      <c r="L1301" s="4"/>
      <c r="M1301" s="4"/>
      <c r="N1301" s="4"/>
      <c r="O1301" s="4"/>
      <c r="P1301" s="4"/>
      <c r="Q1301" s="4"/>
      <c r="R1301" s="4"/>
      <c r="S1301" s="4"/>
      <c r="T1301" s="4"/>
      <c r="U1301" s="4"/>
      <c r="V1301" s="4"/>
      <c r="W1301" s="4"/>
      <c r="X1301" s="4"/>
      <c r="Y1301" s="4"/>
      <c r="Z1301" s="4"/>
      <c r="AA1301" s="4"/>
      <c r="AB1301" s="5"/>
    </row>
    <row r="1302" spans="1:28" x14ac:dyDescent="0.35">
      <c r="A1302" s="3"/>
      <c r="B1302" s="4"/>
      <c r="C1302" s="4"/>
      <c r="D1302" s="4"/>
      <c r="E1302" s="4"/>
      <c r="F1302" s="4"/>
      <c r="G1302" s="4"/>
      <c r="H1302" s="4"/>
      <c r="I1302" s="4"/>
      <c r="J1302" s="4"/>
      <c r="K1302" s="4"/>
      <c r="L1302" s="4"/>
      <c r="M1302" s="4"/>
      <c r="N1302" s="4"/>
      <c r="O1302" s="4"/>
      <c r="P1302" s="4"/>
      <c r="Q1302" s="4"/>
      <c r="R1302" s="4"/>
      <c r="S1302" s="4"/>
      <c r="T1302" s="4"/>
      <c r="U1302" s="4"/>
      <c r="V1302" s="4"/>
      <c r="W1302" s="4"/>
      <c r="X1302" s="4"/>
      <c r="Y1302" s="4"/>
      <c r="Z1302" s="4"/>
      <c r="AA1302" s="4"/>
      <c r="AB1302" s="5"/>
    </row>
    <row r="1303" spans="1:28" x14ac:dyDescent="0.35">
      <c r="A1303" s="3"/>
      <c r="B1303" s="4"/>
      <c r="C1303" s="4"/>
      <c r="D1303" s="4"/>
      <c r="E1303" s="4"/>
      <c r="F1303" s="4"/>
      <c r="G1303" s="4"/>
      <c r="H1303" s="4"/>
      <c r="I1303" s="4"/>
      <c r="J1303" s="4"/>
      <c r="K1303" s="4"/>
      <c r="L1303" s="4"/>
      <c r="M1303" s="4"/>
      <c r="N1303" s="4"/>
      <c r="O1303" s="4"/>
      <c r="P1303" s="4"/>
      <c r="Q1303" s="4"/>
      <c r="R1303" s="4"/>
      <c r="S1303" s="4"/>
      <c r="T1303" s="4"/>
      <c r="U1303" s="4"/>
      <c r="V1303" s="4"/>
      <c r="W1303" s="4"/>
      <c r="X1303" s="4"/>
      <c r="Y1303" s="4"/>
      <c r="Z1303" s="4"/>
      <c r="AA1303" s="4"/>
      <c r="AB1303" s="5"/>
    </row>
    <row r="1304" spans="1:28" x14ac:dyDescent="0.35">
      <c r="A1304" s="3"/>
      <c r="B1304" s="4"/>
      <c r="C1304" s="4"/>
      <c r="D1304" s="4"/>
      <c r="E1304" s="4"/>
      <c r="F1304" s="4"/>
      <c r="G1304" s="4"/>
      <c r="H1304" s="4"/>
      <c r="I1304" s="4"/>
      <c r="J1304" s="4"/>
      <c r="K1304" s="4"/>
      <c r="L1304" s="4"/>
      <c r="M1304" s="4"/>
      <c r="N1304" s="4"/>
      <c r="O1304" s="4"/>
      <c r="P1304" s="4"/>
      <c r="Q1304" s="4"/>
      <c r="R1304" s="4"/>
      <c r="S1304" s="4"/>
      <c r="T1304" s="4"/>
      <c r="U1304" s="4"/>
      <c r="V1304" s="4"/>
      <c r="W1304" s="4"/>
      <c r="X1304" s="4"/>
      <c r="Y1304" s="4"/>
      <c r="Z1304" s="4"/>
      <c r="AA1304" s="4"/>
      <c r="AB1304" s="5"/>
    </row>
    <row r="1305" spans="1:28" x14ac:dyDescent="0.35">
      <c r="A1305" s="3"/>
      <c r="B1305" s="4"/>
      <c r="C1305" s="4"/>
      <c r="D1305" s="4"/>
      <c r="E1305" s="4"/>
      <c r="F1305" s="4"/>
      <c r="G1305" s="4"/>
      <c r="H1305" s="4"/>
      <c r="I1305" s="4"/>
      <c r="J1305" s="4"/>
      <c r="K1305" s="4"/>
      <c r="L1305" s="4"/>
      <c r="M1305" s="4"/>
      <c r="N1305" s="4"/>
      <c r="O1305" s="4"/>
      <c r="P1305" s="4"/>
      <c r="Q1305" s="4"/>
      <c r="R1305" s="4"/>
      <c r="S1305" s="4"/>
      <c r="T1305" s="4"/>
      <c r="U1305" s="4"/>
      <c r="V1305" s="4"/>
      <c r="W1305" s="4"/>
      <c r="X1305" s="4"/>
      <c r="Y1305" s="4"/>
      <c r="Z1305" s="4"/>
      <c r="AA1305" s="4"/>
      <c r="AB1305" s="5"/>
    </row>
    <row r="1306" spans="1:28" x14ac:dyDescent="0.35">
      <c r="A1306" s="3"/>
      <c r="B1306" s="4"/>
      <c r="C1306" s="4"/>
      <c r="D1306" s="4"/>
      <c r="E1306" s="4"/>
      <c r="F1306" s="4"/>
      <c r="G1306" s="4"/>
      <c r="H1306" s="4"/>
      <c r="I1306" s="4"/>
      <c r="J1306" s="4"/>
      <c r="K1306" s="4"/>
      <c r="L1306" s="4"/>
      <c r="M1306" s="4"/>
      <c r="N1306" s="4"/>
      <c r="O1306" s="4"/>
      <c r="P1306" s="4"/>
      <c r="Q1306" s="4"/>
      <c r="R1306" s="4"/>
      <c r="S1306" s="4"/>
      <c r="T1306" s="4"/>
      <c r="U1306" s="4"/>
      <c r="V1306" s="4"/>
      <c r="W1306" s="4"/>
      <c r="X1306" s="4"/>
      <c r="Y1306" s="4"/>
      <c r="Z1306" s="4"/>
      <c r="AA1306" s="4"/>
      <c r="AB1306" s="5"/>
    </row>
    <row r="1307" spans="1:28" x14ac:dyDescent="0.35">
      <c r="A1307" s="3"/>
      <c r="B1307" s="4"/>
      <c r="C1307" s="4"/>
      <c r="D1307" s="4"/>
      <c r="E1307" s="4"/>
      <c r="F1307" s="4"/>
      <c r="G1307" s="4"/>
      <c r="H1307" s="4"/>
      <c r="I1307" s="4"/>
      <c r="J1307" s="4"/>
      <c r="K1307" s="4"/>
      <c r="L1307" s="4"/>
      <c r="M1307" s="4"/>
      <c r="N1307" s="4"/>
      <c r="O1307" s="4"/>
      <c r="P1307" s="4"/>
      <c r="Q1307" s="4"/>
      <c r="R1307" s="4"/>
      <c r="S1307" s="4"/>
      <c r="T1307" s="4"/>
      <c r="U1307" s="4"/>
      <c r="V1307" s="4"/>
      <c r="W1307" s="4"/>
      <c r="X1307" s="4"/>
      <c r="Y1307" s="4"/>
      <c r="Z1307" s="4"/>
      <c r="AA1307" s="4"/>
      <c r="AB1307" s="5"/>
    </row>
    <row r="1308" spans="1:28" x14ac:dyDescent="0.35">
      <c r="A1308" s="3"/>
      <c r="B1308" s="4"/>
      <c r="C1308" s="4"/>
      <c r="D1308" s="4"/>
      <c r="E1308" s="4"/>
      <c r="F1308" s="4"/>
      <c r="G1308" s="4"/>
      <c r="H1308" s="4"/>
      <c r="I1308" s="4"/>
      <c r="J1308" s="4"/>
      <c r="K1308" s="4"/>
      <c r="L1308" s="4"/>
      <c r="M1308" s="4"/>
      <c r="N1308" s="4"/>
      <c r="O1308" s="4"/>
      <c r="P1308" s="4"/>
      <c r="Q1308" s="4"/>
      <c r="R1308" s="4"/>
      <c r="S1308" s="4"/>
      <c r="T1308" s="4"/>
      <c r="U1308" s="4"/>
      <c r="V1308" s="4"/>
      <c r="W1308" s="4"/>
      <c r="X1308" s="4"/>
      <c r="Y1308" s="4"/>
      <c r="Z1308" s="4"/>
      <c r="AA1308" s="4"/>
      <c r="AB1308" s="5"/>
    </row>
    <row r="1309" spans="1:28" x14ac:dyDescent="0.35">
      <c r="A1309" s="3"/>
      <c r="B1309" s="4"/>
      <c r="C1309" s="4"/>
      <c r="D1309" s="4"/>
      <c r="E1309" s="4"/>
      <c r="F1309" s="4"/>
      <c r="G1309" s="4"/>
      <c r="H1309" s="4"/>
      <c r="I1309" s="4"/>
      <c r="J1309" s="4"/>
      <c r="K1309" s="4"/>
      <c r="L1309" s="4"/>
      <c r="M1309" s="4"/>
      <c r="N1309" s="4"/>
      <c r="O1309" s="4"/>
      <c r="P1309" s="4"/>
      <c r="Q1309" s="4"/>
      <c r="R1309" s="4"/>
      <c r="S1309" s="4"/>
      <c r="T1309" s="4"/>
      <c r="U1309" s="4"/>
      <c r="V1309" s="4"/>
      <c r="W1309" s="4"/>
      <c r="X1309" s="4"/>
      <c r="Y1309" s="4"/>
      <c r="Z1309" s="4"/>
      <c r="AA1309" s="4"/>
      <c r="AB1309" s="5"/>
    </row>
    <row r="1310" spans="1:28" x14ac:dyDescent="0.35">
      <c r="A1310" s="3"/>
      <c r="B1310" s="4"/>
      <c r="C1310" s="4"/>
      <c r="D1310" s="4"/>
      <c r="E1310" s="4"/>
      <c r="F1310" s="4"/>
      <c r="G1310" s="4"/>
      <c r="H1310" s="4"/>
      <c r="I1310" s="4"/>
      <c r="J1310" s="4"/>
      <c r="K1310" s="4"/>
      <c r="L1310" s="4"/>
      <c r="M1310" s="4"/>
      <c r="N1310" s="4"/>
      <c r="O1310" s="4"/>
      <c r="P1310" s="4"/>
      <c r="Q1310" s="4"/>
      <c r="R1310" s="4"/>
      <c r="S1310" s="4"/>
      <c r="T1310" s="4"/>
      <c r="U1310" s="4"/>
      <c r="V1310" s="4"/>
      <c r="W1310" s="4"/>
      <c r="X1310" s="4"/>
      <c r="Y1310" s="4"/>
      <c r="Z1310" s="4"/>
      <c r="AA1310" s="4"/>
      <c r="AB1310" s="5"/>
    </row>
    <row r="1311" spans="1:28" x14ac:dyDescent="0.35">
      <c r="A1311" s="3"/>
      <c r="B1311" s="4"/>
      <c r="C1311" s="4"/>
      <c r="D1311" s="4"/>
      <c r="E1311" s="4"/>
      <c r="F1311" s="4"/>
      <c r="G1311" s="4"/>
      <c r="H1311" s="4"/>
      <c r="I1311" s="4"/>
      <c r="J1311" s="4"/>
      <c r="K1311" s="4"/>
      <c r="L1311" s="4"/>
      <c r="M1311" s="4"/>
      <c r="N1311" s="4"/>
      <c r="O1311" s="4"/>
      <c r="P1311" s="4"/>
      <c r="Q1311" s="4"/>
      <c r="R1311" s="4"/>
      <c r="S1311" s="4"/>
      <c r="T1311" s="4"/>
      <c r="U1311" s="4"/>
      <c r="V1311" s="4"/>
      <c r="W1311" s="4"/>
      <c r="X1311" s="4"/>
      <c r="Y1311" s="4"/>
      <c r="Z1311" s="4"/>
      <c r="AA1311" s="4"/>
      <c r="AB1311" s="5"/>
    </row>
    <row r="1312" spans="1:28" x14ac:dyDescent="0.35">
      <c r="A1312" s="3"/>
      <c r="B1312" s="4"/>
      <c r="C1312" s="4"/>
      <c r="D1312" s="4"/>
      <c r="E1312" s="4"/>
      <c r="F1312" s="4"/>
      <c r="G1312" s="4"/>
      <c r="H1312" s="4"/>
      <c r="I1312" s="4"/>
      <c r="J1312" s="4"/>
      <c r="K1312" s="4"/>
      <c r="L1312" s="4"/>
      <c r="M1312" s="4"/>
      <c r="N1312" s="4"/>
      <c r="O1312" s="4"/>
      <c r="P1312" s="4"/>
      <c r="Q1312" s="4"/>
      <c r="R1312" s="4"/>
      <c r="S1312" s="4"/>
      <c r="T1312" s="4"/>
      <c r="U1312" s="4"/>
      <c r="V1312" s="4"/>
      <c r="W1312" s="4"/>
      <c r="X1312" s="4"/>
      <c r="Y1312" s="4"/>
      <c r="Z1312" s="4"/>
      <c r="AA1312" s="4"/>
      <c r="AB1312" s="5"/>
    </row>
    <row r="1313" spans="1:28" x14ac:dyDescent="0.35">
      <c r="A1313" s="3"/>
      <c r="B1313" s="4"/>
      <c r="C1313" s="4"/>
      <c r="D1313" s="4"/>
      <c r="E1313" s="4"/>
      <c r="F1313" s="4"/>
      <c r="G1313" s="4"/>
      <c r="H1313" s="4"/>
      <c r="I1313" s="4"/>
      <c r="J1313" s="4"/>
      <c r="K1313" s="4"/>
      <c r="L1313" s="4"/>
      <c r="M1313" s="4"/>
      <c r="N1313" s="4"/>
      <c r="O1313" s="4"/>
      <c r="P1313" s="4"/>
      <c r="Q1313" s="4"/>
      <c r="R1313" s="4"/>
      <c r="S1313" s="4"/>
      <c r="T1313" s="4"/>
      <c r="U1313" s="4"/>
      <c r="V1313" s="4"/>
      <c r="W1313" s="4"/>
      <c r="X1313" s="4"/>
      <c r="Y1313" s="4"/>
      <c r="Z1313" s="4"/>
      <c r="AA1313" s="4"/>
      <c r="AB1313" s="5"/>
    </row>
    <row r="1314" spans="1:28" x14ac:dyDescent="0.35">
      <c r="A1314" s="3"/>
      <c r="B1314" s="4"/>
      <c r="C1314" s="4"/>
      <c r="D1314" s="4"/>
      <c r="E1314" s="4"/>
      <c r="F1314" s="4"/>
      <c r="G1314" s="4"/>
      <c r="H1314" s="4"/>
      <c r="I1314" s="4"/>
      <c r="J1314" s="4"/>
      <c r="K1314" s="4"/>
      <c r="L1314" s="4"/>
      <c r="M1314" s="4"/>
      <c r="N1314" s="4"/>
      <c r="O1314" s="4"/>
      <c r="P1314" s="4"/>
      <c r="Q1314" s="4"/>
      <c r="R1314" s="4"/>
      <c r="S1314" s="4"/>
      <c r="T1314" s="4"/>
      <c r="U1314" s="4"/>
      <c r="V1314" s="4"/>
      <c r="W1314" s="4"/>
      <c r="X1314" s="4"/>
      <c r="Y1314" s="4"/>
      <c r="Z1314" s="4"/>
      <c r="AA1314" s="4"/>
      <c r="AB1314" s="5"/>
    </row>
    <row r="1315" spans="1:28" x14ac:dyDescent="0.35">
      <c r="A1315" s="3"/>
      <c r="B1315" s="4"/>
      <c r="C1315" s="4"/>
      <c r="D1315" s="4"/>
      <c r="E1315" s="4"/>
      <c r="F1315" s="4"/>
      <c r="G1315" s="4"/>
      <c r="H1315" s="4"/>
      <c r="I1315" s="4"/>
      <c r="J1315" s="4"/>
      <c r="K1315" s="4"/>
      <c r="L1315" s="4"/>
      <c r="M1315" s="4"/>
      <c r="N1315" s="4"/>
      <c r="O1315" s="4"/>
      <c r="P1315" s="4"/>
      <c r="Q1315" s="4"/>
      <c r="R1315" s="4"/>
      <c r="S1315" s="4"/>
      <c r="T1315" s="4"/>
      <c r="U1315" s="4"/>
      <c r="V1315" s="4"/>
      <c r="W1315" s="4"/>
      <c r="X1315" s="4"/>
      <c r="Y1315" s="4"/>
      <c r="Z1315" s="4"/>
      <c r="AA1315" s="4"/>
      <c r="AB1315" s="5"/>
    </row>
    <row r="1316" spans="1:28" x14ac:dyDescent="0.35">
      <c r="A1316" s="3"/>
      <c r="B1316" s="4"/>
      <c r="C1316" s="4"/>
      <c r="D1316" s="4"/>
      <c r="E1316" s="4"/>
      <c r="F1316" s="4"/>
      <c r="G1316" s="4"/>
      <c r="H1316" s="4"/>
      <c r="I1316" s="4"/>
      <c r="J1316" s="4"/>
      <c r="K1316" s="4"/>
      <c r="L1316" s="4"/>
      <c r="M1316" s="4"/>
      <c r="N1316" s="4"/>
      <c r="O1316" s="4"/>
      <c r="P1316" s="4"/>
      <c r="Q1316" s="4"/>
      <c r="R1316" s="4"/>
      <c r="S1316" s="4"/>
      <c r="T1316" s="4"/>
      <c r="U1316" s="4"/>
      <c r="V1316" s="4"/>
      <c r="W1316" s="4"/>
      <c r="X1316" s="4"/>
      <c r="Y1316" s="4"/>
      <c r="Z1316" s="4"/>
      <c r="AA1316" s="4"/>
      <c r="AB1316" s="5"/>
    </row>
    <row r="1317" spans="1:28" x14ac:dyDescent="0.35">
      <c r="A1317" s="3"/>
      <c r="B1317" s="4"/>
      <c r="C1317" s="4"/>
      <c r="D1317" s="4"/>
      <c r="E1317" s="4"/>
      <c r="F1317" s="4"/>
      <c r="G1317" s="4"/>
      <c r="H1317" s="4"/>
      <c r="I1317" s="4"/>
      <c r="J1317" s="4"/>
      <c r="K1317" s="4"/>
      <c r="L1317" s="4"/>
      <c r="M1317" s="4"/>
      <c r="N1317" s="4"/>
      <c r="O1317" s="4"/>
      <c r="P1317" s="4"/>
      <c r="Q1317" s="4"/>
      <c r="R1317" s="4"/>
      <c r="S1317" s="4"/>
      <c r="T1317" s="4"/>
      <c r="U1317" s="4"/>
      <c r="V1317" s="4"/>
      <c r="W1317" s="4"/>
      <c r="X1317" s="4"/>
      <c r="Y1317" s="4"/>
      <c r="Z1317" s="4"/>
      <c r="AA1317" s="4"/>
      <c r="AB1317" s="5"/>
    </row>
    <row r="1318" spans="1:28" x14ac:dyDescent="0.35">
      <c r="A1318" s="3"/>
      <c r="B1318" s="4"/>
      <c r="C1318" s="4"/>
      <c r="D1318" s="4"/>
      <c r="E1318" s="4"/>
      <c r="F1318" s="4"/>
      <c r="G1318" s="4"/>
      <c r="H1318" s="4"/>
      <c r="I1318" s="4"/>
      <c r="J1318" s="4"/>
      <c r="K1318" s="4"/>
      <c r="L1318" s="4"/>
      <c r="M1318" s="4"/>
      <c r="N1318" s="4"/>
      <c r="O1318" s="4"/>
      <c r="P1318" s="4"/>
      <c r="Q1318" s="4"/>
      <c r="R1318" s="4"/>
      <c r="S1318" s="4"/>
      <c r="T1318" s="4"/>
      <c r="U1318" s="4"/>
      <c r="V1318" s="4"/>
      <c r="W1318" s="4"/>
      <c r="X1318" s="4"/>
      <c r="Y1318" s="4"/>
      <c r="Z1318" s="4"/>
      <c r="AA1318" s="4"/>
      <c r="AB1318" s="5"/>
    </row>
    <row r="1319" spans="1:28" x14ac:dyDescent="0.35">
      <c r="A1319" s="3"/>
      <c r="B1319" s="4"/>
      <c r="C1319" s="4"/>
      <c r="D1319" s="4"/>
      <c r="E1319" s="4"/>
      <c r="F1319" s="4"/>
      <c r="G1319" s="4"/>
      <c r="H1319" s="4"/>
      <c r="I1319" s="4"/>
      <c r="J1319" s="4"/>
      <c r="K1319" s="4"/>
      <c r="L1319" s="4"/>
      <c r="M1319" s="4"/>
      <c r="N1319" s="4"/>
      <c r="O1319" s="4"/>
      <c r="P1319" s="4"/>
      <c r="Q1319" s="4"/>
      <c r="R1319" s="4"/>
      <c r="S1319" s="4"/>
      <c r="T1319" s="4"/>
      <c r="U1319" s="4"/>
      <c r="V1319" s="4"/>
      <c r="W1319" s="4"/>
      <c r="X1319" s="4"/>
      <c r="Y1319" s="4"/>
      <c r="Z1319" s="4"/>
      <c r="AA1319" s="4"/>
      <c r="AB1319" s="5"/>
    </row>
    <row r="1320" spans="1:28" x14ac:dyDescent="0.35">
      <c r="A1320" s="3"/>
      <c r="B1320" s="4"/>
      <c r="C1320" s="4"/>
      <c r="D1320" s="4"/>
      <c r="E1320" s="4"/>
      <c r="F1320" s="4"/>
      <c r="G1320" s="4"/>
      <c r="H1320" s="4"/>
      <c r="I1320" s="4"/>
      <c r="J1320" s="4"/>
      <c r="K1320" s="4"/>
      <c r="L1320" s="4"/>
      <c r="M1320" s="4"/>
      <c r="N1320" s="4"/>
      <c r="O1320" s="4"/>
      <c r="P1320" s="4"/>
      <c r="Q1320" s="4"/>
      <c r="R1320" s="4"/>
      <c r="S1320" s="4"/>
      <c r="T1320" s="4"/>
      <c r="U1320" s="4"/>
      <c r="V1320" s="4"/>
      <c r="W1320" s="4"/>
      <c r="X1320" s="4"/>
      <c r="Y1320" s="4"/>
      <c r="Z1320" s="4"/>
      <c r="AA1320" s="4"/>
      <c r="AB1320" s="5"/>
    </row>
    <row r="1321" spans="1:28" x14ac:dyDescent="0.35">
      <c r="A1321" s="3"/>
      <c r="B1321" s="4"/>
      <c r="C1321" s="4"/>
      <c r="D1321" s="4"/>
      <c r="E1321" s="4"/>
      <c r="F1321" s="4"/>
      <c r="G1321" s="4"/>
      <c r="H1321" s="4"/>
      <c r="I1321" s="4"/>
      <c r="J1321" s="4"/>
      <c r="K1321" s="4"/>
      <c r="L1321" s="4"/>
      <c r="M1321" s="4"/>
      <c r="N1321" s="4"/>
      <c r="O1321" s="4"/>
      <c r="P1321" s="4"/>
      <c r="Q1321" s="4"/>
      <c r="R1321" s="4"/>
      <c r="S1321" s="4"/>
      <c r="T1321" s="4"/>
      <c r="U1321" s="4"/>
      <c r="V1321" s="4"/>
      <c r="W1321" s="4"/>
      <c r="X1321" s="4"/>
      <c r="Y1321" s="4"/>
      <c r="Z1321" s="4"/>
      <c r="AA1321" s="4"/>
      <c r="AB1321" s="5"/>
    </row>
    <row r="1322" spans="1:28" x14ac:dyDescent="0.35">
      <c r="A1322" s="3"/>
      <c r="B1322" s="4"/>
      <c r="C1322" s="4"/>
      <c r="D1322" s="4"/>
      <c r="E1322" s="4"/>
      <c r="F1322" s="4"/>
      <c r="G1322" s="4"/>
      <c r="H1322" s="4"/>
      <c r="I1322" s="4"/>
      <c r="J1322" s="4"/>
      <c r="K1322" s="4"/>
      <c r="L1322" s="4"/>
      <c r="M1322" s="4"/>
      <c r="N1322" s="4"/>
      <c r="O1322" s="4"/>
      <c r="P1322" s="4"/>
      <c r="Q1322" s="4"/>
      <c r="R1322" s="4"/>
      <c r="S1322" s="4"/>
      <c r="T1322" s="4"/>
      <c r="U1322" s="4"/>
      <c r="V1322" s="4"/>
      <c r="W1322" s="4"/>
      <c r="X1322" s="4"/>
      <c r="Y1322" s="4"/>
      <c r="Z1322" s="4"/>
      <c r="AA1322" s="4"/>
      <c r="AB1322" s="5"/>
    </row>
    <row r="1323" spans="1:28" x14ac:dyDescent="0.35">
      <c r="A1323" s="3"/>
      <c r="B1323" s="4"/>
      <c r="C1323" s="4"/>
      <c r="D1323" s="4"/>
      <c r="E1323" s="4"/>
      <c r="F1323" s="4"/>
      <c r="G1323" s="4"/>
      <c r="H1323" s="4"/>
      <c r="I1323" s="4"/>
      <c r="J1323" s="4"/>
      <c r="K1323" s="4"/>
      <c r="L1323" s="4"/>
      <c r="M1323" s="4"/>
      <c r="N1323" s="4"/>
      <c r="O1323" s="4"/>
      <c r="P1323" s="4"/>
      <c r="Q1323" s="4"/>
      <c r="R1323" s="4"/>
      <c r="S1323" s="4"/>
      <c r="T1323" s="4"/>
      <c r="U1323" s="4"/>
      <c r="V1323" s="4"/>
      <c r="W1323" s="4"/>
      <c r="X1323" s="4"/>
      <c r="Y1323" s="4"/>
      <c r="Z1323" s="4"/>
      <c r="AA1323" s="4"/>
      <c r="AB1323" s="5"/>
    </row>
    <row r="1324" spans="1:28" x14ac:dyDescent="0.35">
      <c r="A1324" s="3"/>
      <c r="B1324" s="4"/>
      <c r="C1324" s="4"/>
      <c r="D1324" s="4"/>
      <c r="E1324" s="4"/>
      <c r="F1324" s="4"/>
      <c r="G1324" s="4"/>
      <c r="H1324" s="4"/>
      <c r="I1324" s="4"/>
      <c r="J1324" s="4"/>
      <c r="K1324" s="4"/>
      <c r="L1324" s="4"/>
      <c r="M1324" s="4"/>
      <c r="N1324" s="4"/>
      <c r="O1324" s="4"/>
      <c r="P1324" s="4"/>
      <c r="Q1324" s="4"/>
      <c r="R1324" s="4"/>
      <c r="S1324" s="4"/>
      <c r="T1324" s="4"/>
      <c r="U1324" s="4"/>
      <c r="V1324" s="4"/>
      <c r="W1324" s="4"/>
      <c r="X1324" s="4"/>
      <c r="Y1324" s="4"/>
      <c r="Z1324" s="4"/>
      <c r="AA1324" s="4"/>
      <c r="AB1324" s="5"/>
    </row>
    <row r="1325" spans="1:28" x14ac:dyDescent="0.35">
      <c r="A1325" s="3"/>
      <c r="B1325" s="4"/>
      <c r="C1325" s="4"/>
      <c r="D1325" s="4"/>
      <c r="E1325" s="4"/>
      <c r="F1325" s="4"/>
      <c r="G1325" s="4"/>
      <c r="H1325" s="4"/>
      <c r="I1325" s="4"/>
      <c r="J1325" s="4"/>
      <c r="K1325" s="4"/>
      <c r="L1325" s="4"/>
      <c r="M1325" s="4"/>
      <c r="N1325" s="4"/>
      <c r="O1325" s="4"/>
      <c r="P1325" s="4"/>
      <c r="Q1325" s="4"/>
      <c r="R1325" s="4"/>
      <c r="S1325" s="4"/>
      <c r="T1325" s="4"/>
      <c r="U1325" s="4"/>
      <c r="V1325" s="4"/>
      <c r="W1325" s="4"/>
      <c r="X1325" s="4"/>
      <c r="Y1325" s="4"/>
      <c r="Z1325" s="4"/>
      <c r="AA1325" s="4"/>
      <c r="AB1325" s="5"/>
    </row>
    <row r="1326" spans="1:28" x14ac:dyDescent="0.35">
      <c r="A1326" s="3"/>
      <c r="B1326" s="4"/>
      <c r="C1326" s="4"/>
      <c r="D1326" s="4"/>
      <c r="E1326" s="4"/>
      <c r="F1326" s="4"/>
      <c r="G1326" s="4"/>
      <c r="H1326" s="4"/>
      <c r="I1326" s="4"/>
      <c r="J1326" s="4"/>
      <c r="K1326" s="4"/>
      <c r="L1326" s="4"/>
      <c r="M1326" s="4"/>
      <c r="N1326" s="4"/>
      <c r="O1326" s="4"/>
      <c r="P1326" s="4"/>
      <c r="Q1326" s="4"/>
      <c r="R1326" s="4"/>
      <c r="S1326" s="4"/>
      <c r="T1326" s="4"/>
      <c r="U1326" s="4"/>
      <c r="V1326" s="4"/>
      <c r="W1326" s="4"/>
      <c r="X1326" s="4"/>
      <c r="Y1326" s="4"/>
      <c r="Z1326" s="4"/>
      <c r="AA1326" s="4"/>
      <c r="AB1326" s="5"/>
    </row>
    <row r="1327" spans="1:28" x14ac:dyDescent="0.35">
      <c r="A1327" s="3"/>
      <c r="B1327" s="4"/>
      <c r="C1327" s="4"/>
      <c r="D1327" s="4"/>
      <c r="E1327" s="4"/>
      <c r="F1327" s="4"/>
      <c r="G1327" s="4"/>
      <c r="H1327" s="4"/>
      <c r="I1327" s="4"/>
      <c r="J1327" s="4"/>
      <c r="K1327" s="4"/>
      <c r="L1327" s="4"/>
      <c r="M1327" s="4"/>
      <c r="N1327" s="4"/>
      <c r="O1327" s="4"/>
      <c r="P1327" s="4"/>
      <c r="Q1327" s="4"/>
      <c r="R1327" s="4"/>
      <c r="S1327" s="4"/>
      <c r="T1327" s="4"/>
      <c r="U1327" s="4"/>
      <c r="V1327" s="4"/>
      <c r="W1327" s="4"/>
      <c r="X1327" s="4"/>
      <c r="Y1327" s="4"/>
      <c r="Z1327" s="4"/>
      <c r="AA1327" s="4"/>
      <c r="AB1327" s="5"/>
    </row>
    <row r="1328" spans="1:28" x14ac:dyDescent="0.35">
      <c r="A1328" s="3"/>
      <c r="B1328" s="4"/>
      <c r="C1328" s="4"/>
      <c r="D1328" s="4"/>
      <c r="E1328" s="4"/>
      <c r="F1328" s="4"/>
      <c r="G1328" s="4"/>
      <c r="H1328" s="4"/>
      <c r="I1328" s="4"/>
      <c r="J1328" s="4"/>
      <c r="K1328" s="4"/>
      <c r="L1328" s="4"/>
      <c r="M1328" s="4"/>
      <c r="N1328" s="4"/>
      <c r="O1328" s="4"/>
      <c r="P1328" s="4"/>
      <c r="Q1328" s="4"/>
      <c r="R1328" s="4"/>
      <c r="S1328" s="4"/>
      <c r="T1328" s="4"/>
      <c r="U1328" s="4"/>
      <c r="V1328" s="4"/>
      <c r="W1328" s="4"/>
      <c r="X1328" s="4"/>
      <c r="Y1328" s="4"/>
      <c r="Z1328" s="4"/>
      <c r="AA1328" s="4"/>
      <c r="AB1328" s="5"/>
    </row>
    <row r="1329" spans="1:28" x14ac:dyDescent="0.35">
      <c r="A1329" s="3"/>
      <c r="B1329" s="4"/>
      <c r="C1329" s="4"/>
      <c r="D1329" s="4"/>
      <c r="E1329" s="4"/>
      <c r="F1329" s="4"/>
      <c r="G1329" s="4"/>
      <c r="H1329" s="4"/>
      <c r="I1329" s="4"/>
      <c r="J1329" s="4"/>
      <c r="K1329" s="4"/>
      <c r="L1329" s="4"/>
      <c r="M1329" s="4"/>
      <c r="N1329" s="4"/>
      <c r="O1329" s="4"/>
      <c r="P1329" s="4"/>
      <c r="Q1329" s="4"/>
      <c r="R1329" s="4"/>
      <c r="S1329" s="4"/>
      <c r="T1329" s="4"/>
      <c r="U1329" s="4"/>
      <c r="V1329" s="4"/>
      <c r="W1329" s="4"/>
      <c r="X1329" s="4"/>
      <c r="Y1329" s="4"/>
      <c r="Z1329" s="4"/>
      <c r="AA1329" s="4"/>
      <c r="AB1329" s="5"/>
    </row>
    <row r="1330" spans="1:28" x14ac:dyDescent="0.35">
      <c r="A1330" s="3"/>
      <c r="B1330" s="4"/>
      <c r="C1330" s="4"/>
      <c r="D1330" s="4"/>
      <c r="E1330" s="4"/>
      <c r="F1330" s="4"/>
      <c r="G1330" s="4"/>
      <c r="H1330" s="4"/>
      <c r="I1330" s="4"/>
      <c r="J1330" s="4"/>
      <c r="K1330" s="4"/>
      <c r="L1330" s="4"/>
      <c r="M1330" s="4"/>
      <c r="N1330" s="4"/>
      <c r="O1330" s="4"/>
      <c r="P1330" s="4"/>
      <c r="Q1330" s="4"/>
      <c r="R1330" s="4"/>
      <c r="S1330" s="4"/>
      <c r="T1330" s="4"/>
      <c r="U1330" s="4"/>
      <c r="V1330" s="4"/>
      <c r="W1330" s="4"/>
      <c r="X1330" s="4"/>
      <c r="Y1330" s="4"/>
      <c r="Z1330" s="4"/>
      <c r="AA1330" s="4"/>
      <c r="AB1330" s="5"/>
    </row>
    <row r="1331" spans="1:28" x14ac:dyDescent="0.35">
      <c r="A1331" s="3"/>
      <c r="B1331" s="4"/>
      <c r="C1331" s="4"/>
      <c r="D1331" s="4"/>
      <c r="E1331" s="4"/>
      <c r="F1331" s="4"/>
      <c r="G1331" s="4"/>
      <c r="H1331" s="4"/>
      <c r="I1331" s="4"/>
      <c r="J1331" s="4"/>
      <c r="K1331" s="4"/>
      <c r="L1331" s="4"/>
      <c r="M1331" s="4"/>
      <c r="N1331" s="4"/>
      <c r="O1331" s="4"/>
      <c r="P1331" s="4"/>
      <c r="Q1331" s="4"/>
      <c r="R1331" s="4"/>
      <c r="S1331" s="4"/>
      <c r="T1331" s="4"/>
      <c r="U1331" s="4"/>
      <c r="V1331" s="4"/>
      <c r="W1331" s="4"/>
      <c r="X1331" s="4"/>
      <c r="Y1331" s="4"/>
      <c r="Z1331" s="4"/>
      <c r="AA1331" s="4"/>
      <c r="AB1331" s="5"/>
    </row>
    <row r="1332" spans="1:28" x14ac:dyDescent="0.35">
      <c r="A1332" s="3"/>
      <c r="B1332" s="4"/>
      <c r="C1332" s="4"/>
      <c r="D1332" s="4"/>
      <c r="E1332" s="4"/>
      <c r="F1332" s="4"/>
      <c r="G1332" s="4"/>
      <c r="H1332" s="4"/>
      <c r="I1332" s="4"/>
      <c r="J1332" s="4"/>
      <c r="K1332" s="4"/>
      <c r="L1332" s="4"/>
      <c r="M1332" s="4"/>
      <c r="N1332" s="4"/>
      <c r="O1332" s="4"/>
      <c r="P1332" s="4"/>
      <c r="Q1332" s="4"/>
      <c r="R1332" s="4"/>
      <c r="S1332" s="4"/>
      <c r="T1332" s="4"/>
      <c r="U1332" s="4"/>
      <c r="V1332" s="4"/>
      <c r="W1332" s="4"/>
      <c r="X1332" s="4"/>
      <c r="Y1332" s="4"/>
      <c r="Z1332" s="4"/>
      <c r="AA1332" s="4"/>
      <c r="AB1332" s="5"/>
    </row>
    <row r="1333" spans="1:28" x14ac:dyDescent="0.35">
      <c r="A1333" s="3"/>
      <c r="B1333" s="4"/>
      <c r="C1333" s="4"/>
      <c r="D1333" s="4"/>
      <c r="E1333" s="4"/>
      <c r="F1333" s="4"/>
      <c r="G1333" s="4"/>
      <c r="H1333" s="4"/>
      <c r="I1333" s="4"/>
      <c r="J1333" s="4"/>
      <c r="K1333" s="4"/>
      <c r="L1333" s="4"/>
      <c r="M1333" s="4"/>
      <c r="N1333" s="4"/>
      <c r="O1333" s="4"/>
      <c r="P1333" s="4"/>
      <c r="Q1333" s="4"/>
      <c r="R1333" s="4"/>
      <c r="S1333" s="4"/>
      <c r="T1333" s="4"/>
      <c r="U1333" s="4"/>
      <c r="V1333" s="4"/>
      <c r="W1333" s="4"/>
      <c r="X1333" s="4"/>
      <c r="Y1333" s="4"/>
      <c r="Z1333" s="4"/>
      <c r="AA1333" s="4"/>
      <c r="AB1333" s="5"/>
    </row>
    <row r="1334" spans="1:28" x14ac:dyDescent="0.35">
      <c r="A1334" s="3"/>
      <c r="B1334" s="4"/>
      <c r="C1334" s="4"/>
      <c r="D1334" s="4"/>
      <c r="E1334" s="4"/>
      <c r="F1334" s="4"/>
      <c r="G1334" s="4"/>
      <c r="H1334" s="4"/>
      <c r="I1334" s="4"/>
      <c r="J1334" s="4"/>
      <c r="K1334" s="4"/>
      <c r="L1334" s="4"/>
      <c r="M1334" s="4"/>
      <c r="N1334" s="4"/>
      <c r="O1334" s="4"/>
      <c r="P1334" s="4"/>
      <c r="Q1334" s="4"/>
      <c r="R1334" s="4"/>
      <c r="S1334" s="4"/>
      <c r="T1334" s="4"/>
      <c r="U1334" s="4"/>
      <c r="V1334" s="4"/>
      <c r="W1334" s="4"/>
      <c r="X1334" s="4"/>
      <c r="Y1334" s="4"/>
      <c r="Z1334" s="4"/>
      <c r="AA1334" s="4"/>
      <c r="AB1334" s="5"/>
    </row>
    <row r="1335" spans="1:28" x14ac:dyDescent="0.35">
      <c r="A1335" s="3"/>
      <c r="B1335" s="4"/>
      <c r="C1335" s="4"/>
      <c r="D1335" s="4"/>
      <c r="E1335" s="4"/>
      <c r="F1335" s="4"/>
      <c r="G1335" s="4"/>
      <c r="H1335" s="4"/>
      <c r="I1335" s="4"/>
      <c r="J1335" s="4"/>
      <c r="K1335" s="4"/>
      <c r="L1335" s="4"/>
      <c r="M1335" s="4"/>
      <c r="N1335" s="4"/>
      <c r="O1335" s="4"/>
      <c r="P1335" s="4"/>
      <c r="Q1335" s="4"/>
      <c r="R1335" s="4"/>
      <c r="S1335" s="4"/>
      <c r="T1335" s="4"/>
      <c r="U1335" s="4"/>
      <c r="V1335" s="4"/>
      <c r="W1335" s="4"/>
      <c r="X1335" s="4"/>
      <c r="Y1335" s="4"/>
      <c r="Z1335" s="4"/>
      <c r="AA1335" s="4"/>
      <c r="AB1335" s="5"/>
    </row>
    <row r="1336" spans="1:28" x14ac:dyDescent="0.35">
      <c r="A1336" s="3"/>
      <c r="B1336" s="4"/>
      <c r="C1336" s="4"/>
      <c r="D1336" s="4"/>
      <c r="E1336" s="4"/>
      <c r="F1336" s="4"/>
      <c r="G1336" s="4"/>
      <c r="H1336" s="4"/>
      <c r="I1336" s="4"/>
      <c r="J1336" s="4"/>
      <c r="K1336" s="4"/>
      <c r="L1336" s="4"/>
      <c r="M1336" s="4"/>
      <c r="N1336" s="4"/>
      <c r="O1336" s="4"/>
      <c r="P1336" s="4"/>
      <c r="Q1336" s="4"/>
      <c r="R1336" s="4"/>
      <c r="S1336" s="4"/>
      <c r="T1336" s="4"/>
      <c r="U1336" s="4"/>
      <c r="V1336" s="4"/>
      <c r="W1336" s="4"/>
      <c r="X1336" s="4"/>
      <c r="Y1336" s="4"/>
      <c r="Z1336" s="4"/>
      <c r="AA1336" s="4"/>
      <c r="AB1336" s="5"/>
    </row>
    <row r="1337" spans="1:28" x14ac:dyDescent="0.35">
      <c r="A1337" s="3"/>
      <c r="B1337" s="4"/>
      <c r="C1337" s="4"/>
      <c r="D1337" s="4"/>
      <c r="E1337" s="4"/>
      <c r="F1337" s="4"/>
      <c r="G1337" s="4"/>
      <c r="H1337" s="4"/>
      <c r="I1337" s="4"/>
      <c r="J1337" s="4"/>
      <c r="K1337" s="4"/>
      <c r="L1337" s="4"/>
      <c r="M1337" s="4"/>
      <c r="N1337" s="4"/>
      <c r="O1337" s="4"/>
      <c r="P1337" s="4"/>
      <c r="Q1337" s="4"/>
      <c r="R1337" s="4"/>
      <c r="S1337" s="4"/>
      <c r="T1337" s="4"/>
      <c r="U1337" s="4"/>
      <c r="V1337" s="4"/>
      <c r="W1337" s="4"/>
      <c r="X1337" s="4"/>
      <c r="Y1337" s="4"/>
      <c r="Z1337" s="4"/>
      <c r="AA1337" s="4"/>
      <c r="AB1337" s="5"/>
    </row>
    <row r="1338" spans="1:28" x14ac:dyDescent="0.35">
      <c r="A1338" s="3"/>
      <c r="B1338" s="4"/>
      <c r="C1338" s="4"/>
      <c r="D1338" s="4"/>
      <c r="E1338" s="4"/>
      <c r="F1338" s="4"/>
      <c r="G1338" s="4"/>
      <c r="H1338" s="4"/>
      <c r="I1338" s="4"/>
      <c r="J1338" s="4"/>
      <c r="K1338" s="4"/>
      <c r="L1338" s="4"/>
      <c r="M1338" s="4"/>
      <c r="N1338" s="4"/>
      <c r="O1338" s="4"/>
      <c r="P1338" s="4"/>
      <c r="Q1338" s="4"/>
      <c r="R1338" s="4"/>
      <c r="S1338" s="4"/>
      <c r="T1338" s="4"/>
      <c r="U1338" s="4"/>
      <c r="V1338" s="4"/>
      <c r="W1338" s="4"/>
      <c r="X1338" s="4"/>
      <c r="Y1338" s="4"/>
      <c r="Z1338" s="4"/>
      <c r="AA1338" s="4"/>
      <c r="AB1338" s="5"/>
    </row>
    <row r="1339" spans="1:28" x14ac:dyDescent="0.35">
      <c r="A1339" s="3"/>
      <c r="B1339" s="4"/>
      <c r="C1339" s="4"/>
      <c r="D1339" s="4"/>
      <c r="E1339" s="4"/>
      <c r="F1339" s="4"/>
      <c r="G1339" s="4"/>
      <c r="H1339" s="4"/>
      <c r="I1339" s="4"/>
      <c r="J1339" s="4"/>
      <c r="K1339" s="4"/>
      <c r="L1339" s="4"/>
      <c r="M1339" s="4"/>
      <c r="N1339" s="4"/>
      <c r="O1339" s="4"/>
      <c r="P1339" s="4"/>
      <c r="Q1339" s="4"/>
      <c r="R1339" s="4"/>
      <c r="S1339" s="4"/>
      <c r="T1339" s="4"/>
      <c r="U1339" s="4"/>
      <c r="V1339" s="4"/>
      <c r="W1339" s="4"/>
      <c r="X1339" s="4"/>
      <c r="Y1339" s="4"/>
      <c r="Z1339" s="4"/>
      <c r="AA1339" s="4"/>
      <c r="AB1339" s="5"/>
    </row>
    <row r="1340" spans="1:28" x14ac:dyDescent="0.35">
      <c r="A1340" s="3"/>
      <c r="B1340" s="4"/>
      <c r="C1340" s="4"/>
      <c r="D1340" s="4"/>
      <c r="E1340" s="4"/>
      <c r="F1340" s="4"/>
      <c r="G1340" s="4"/>
      <c r="H1340" s="4"/>
      <c r="I1340" s="4"/>
      <c r="J1340" s="4"/>
      <c r="K1340" s="4"/>
      <c r="L1340" s="4"/>
      <c r="M1340" s="4"/>
      <c r="N1340" s="4"/>
      <c r="O1340" s="4"/>
      <c r="P1340" s="4"/>
      <c r="Q1340" s="4"/>
      <c r="R1340" s="4"/>
      <c r="S1340" s="4"/>
      <c r="T1340" s="4"/>
      <c r="U1340" s="4"/>
      <c r="V1340" s="4"/>
      <c r="W1340" s="4"/>
      <c r="X1340" s="4"/>
      <c r="Y1340" s="4"/>
      <c r="Z1340" s="4"/>
      <c r="AA1340" s="4"/>
      <c r="AB1340" s="5"/>
    </row>
    <row r="1341" spans="1:28" x14ac:dyDescent="0.35">
      <c r="A1341" s="3"/>
      <c r="B1341" s="4"/>
      <c r="C1341" s="4"/>
      <c r="D1341" s="4"/>
      <c r="E1341" s="4"/>
      <c r="F1341" s="4"/>
      <c r="G1341" s="4"/>
      <c r="H1341" s="4"/>
      <c r="I1341" s="4"/>
      <c r="J1341" s="4"/>
      <c r="K1341" s="4"/>
      <c r="L1341" s="4"/>
      <c r="M1341" s="4"/>
      <c r="N1341" s="4"/>
      <c r="O1341" s="4"/>
      <c r="P1341" s="4"/>
      <c r="Q1341" s="4"/>
      <c r="R1341" s="4"/>
      <c r="S1341" s="4"/>
      <c r="T1341" s="4"/>
      <c r="U1341" s="4"/>
      <c r="V1341" s="4"/>
      <c r="W1341" s="4"/>
      <c r="X1341" s="4"/>
      <c r="Y1341" s="4"/>
      <c r="Z1341" s="4"/>
      <c r="AA1341" s="4"/>
      <c r="AB1341" s="5"/>
    </row>
    <row r="1342" spans="1:28" x14ac:dyDescent="0.35">
      <c r="A1342" s="3"/>
      <c r="B1342" s="4"/>
      <c r="C1342" s="4"/>
      <c r="D1342" s="4"/>
      <c r="E1342" s="4"/>
      <c r="F1342" s="4"/>
      <c r="G1342" s="4"/>
      <c r="H1342" s="4"/>
      <c r="I1342" s="4"/>
      <c r="J1342" s="4"/>
      <c r="K1342" s="4"/>
      <c r="L1342" s="4"/>
      <c r="M1342" s="4"/>
      <c r="N1342" s="4"/>
      <c r="O1342" s="4"/>
      <c r="P1342" s="4"/>
      <c r="Q1342" s="4"/>
      <c r="R1342" s="4"/>
      <c r="S1342" s="4"/>
      <c r="T1342" s="4"/>
      <c r="U1342" s="4"/>
      <c r="V1342" s="4"/>
      <c r="W1342" s="4"/>
      <c r="X1342" s="4"/>
      <c r="Y1342" s="4"/>
      <c r="Z1342" s="4"/>
      <c r="AA1342" s="4"/>
      <c r="AB1342" s="5"/>
    </row>
    <row r="1343" spans="1:28" x14ac:dyDescent="0.35">
      <c r="A1343" s="3"/>
      <c r="B1343" s="4"/>
      <c r="C1343" s="4"/>
      <c r="D1343" s="4"/>
      <c r="E1343" s="4"/>
      <c r="F1343" s="4"/>
      <c r="G1343" s="4"/>
      <c r="H1343" s="4"/>
      <c r="I1343" s="4"/>
      <c r="J1343" s="4"/>
      <c r="K1343" s="4"/>
      <c r="L1343" s="4"/>
      <c r="M1343" s="4"/>
      <c r="N1343" s="4"/>
      <c r="O1343" s="4"/>
      <c r="P1343" s="4"/>
      <c r="Q1343" s="4"/>
      <c r="R1343" s="4"/>
      <c r="S1343" s="4"/>
      <c r="T1343" s="4"/>
      <c r="U1343" s="4"/>
      <c r="V1343" s="4"/>
      <c r="W1343" s="4"/>
      <c r="X1343" s="4"/>
      <c r="Y1343" s="4"/>
      <c r="Z1343" s="4"/>
      <c r="AA1343" s="4"/>
      <c r="AB1343" s="5"/>
    </row>
    <row r="1344" spans="1:28" x14ac:dyDescent="0.35">
      <c r="A1344" s="3"/>
      <c r="B1344" s="4"/>
      <c r="C1344" s="4"/>
      <c r="D1344" s="4"/>
      <c r="E1344" s="4"/>
      <c r="F1344" s="4"/>
      <c r="G1344" s="4"/>
      <c r="H1344" s="4"/>
      <c r="I1344" s="4"/>
      <c r="J1344" s="4"/>
      <c r="K1344" s="4"/>
      <c r="L1344" s="4"/>
      <c r="M1344" s="4"/>
      <c r="N1344" s="4"/>
      <c r="O1344" s="4"/>
      <c r="P1344" s="4"/>
      <c r="Q1344" s="4"/>
      <c r="R1344" s="4"/>
      <c r="S1344" s="4"/>
      <c r="T1344" s="4"/>
      <c r="U1344" s="4"/>
      <c r="V1344" s="4"/>
      <c r="W1344" s="4"/>
      <c r="X1344" s="4"/>
      <c r="Y1344" s="4"/>
      <c r="Z1344" s="4"/>
      <c r="AA1344" s="4"/>
      <c r="AB1344" s="5"/>
    </row>
    <row r="1345" spans="1:28" x14ac:dyDescent="0.35">
      <c r="A1345" s="3"/>
      <c r="B1345" s="4"/>
      <c r="C1345" s="4"/>
      <c r="D1345" s="4"/>
      <c r="E1345" s="4"/>
      <c r="F1345" s="4"/>
      <c r="G1345" s="4"/>
      <c r="H1345" s="4"/>
      <c r="I1345" s="4"/>
      <c r="J1345" s="4"/>
      <c r="K1345" s="4"/>
      <c r="L1345" s="4"/>
      <c r="M1345" s="4"/>
      <c r="N1345" s="4"/>
      <c r="O1345" s="4"/>
      <c r="P1345" s="4"/>
      <c r="Q1345" s="4"/>
      <c r="R1345" s="4"/>
      <c r="S1345" s="4"/>
      <c r="T1345" s="4"/>
      <c r="U1345" s="4"/>
      <c r="V1345" s="4"/>
      <c r="W1345" s="4"/>
      <c r="X1345" s="4"/>
      <c r="Y1345" s="4"/>
      <c r="Z1345" s="4"/>
      <c r="AA1345" s="4"/>
      <c r="AB1345" s="5"/>
    </row>
    <row r="1346" spans="1:28" x14ac:dyDescent="0.35">
      <c r="A1346" s="3"/>
      <c r="B1346" s="4"/>
      <c r="C1346" s="4"/>
      <c r="D1346" s="4"/>
      <c r="E1346" s="4"/>
      <c r="F1346" s="4"/>
      <c r="G1346" s="4"/>
      <c r="H1346" s="4"/>
      <c r="I1346" s="4"/>
      <c r="J1346" s="4"/>
      <c r="K1346" s="4"/>
      <c r="L1346" s="4"/>
      <c r="M1346" s="4"/>
      <c r="N1346" s="4"/>
      <c r="O1346" s="4"/>
      <c r="P1346" s="4"/>
      <c r="Q1346" s="4"/>
      <c r="R1346" s="4"/>
      <c r="S1346" s="4"/>
      <c r="T1346" s="4"/>
      <c r="U1346" s="4"/>
      <c r="V1346" s="4"/>
      <c r="W1346" s="4"/>
      <c r="X1346" s="4"/>
      <c r="Y1346" s="4"/>
      <c r="Z1346" s="4"/>
      <c r="AA1346" s="4"/>
      <c r="AB1346" s="5"/>
    </row>
    <row r="1347" spans="1:28" x14ac:dyDescent="0.35">
      <c r="A1347" s="3"/>
      <c r="B1347" s="4"/>
      <c r="C1347" s="4"/>
      <c r="D1347" s="4"/>
      <c r="E1347" s="4"/>
      <c r="F1347" s="4"/>
      <c r="G1347" s="4"/>
      <c r="H1347" s="4"/>
      <c r="I1347" s="4"/>
      <c r="J1347" s="4"/>
      <c r="K1347" s="4"/>
      <c r="L1347" s="4"/>
      <c r="M1347" s="4"/>
      <c r="N1347" s="4"/>
      <c r="O1347" s="4"/>
      <c r="P1347" s="4"/>
      <c r="Q1347" s="4"/>
      <c r="R1347" s="4"/>
      <c r="S1347" s="4"/>
      <c r="T1347" s="4"/>
      <c r="U1347" s="4"/>
      <c r="V1347" s="4"/>
      <c r="W1347" s="4"/>
      <c r="X1347" s="4"/>
      <c r="Y1347" s="4"/>
      <c r="Z1347" s="4"/>
      <c r="AA1347" s="4"/>
      <c r="AB1347" s="5"/>
    </row>
    <row r="1348" spans="1:28" x14ac:dyDescent="0.35">
      <c r="A1348" s="3"/>
      <c r="B1348" s="4"/>
      <c r="C1348" s="4"/>
      <c r="D1348" s="4"/>
      <c r="E1348" s="4"/>
      <c r="F1348" s="4"/>
      <c r="G1348" s="4"/>
      <c r="H1348" s="4"/>
      <c r="I1348" s="4"/>
      <c r="J1348" s="4"/>
      <c r="K1348" s="4"/>
      <c r="L1348" s="4"/>
      <c r="M1348" s="4"/>
      <c r="N1348" s="4"/>
      <c r="O1348" s="4"/>
      <c r="P1348" s="4"/>
      <c r="Q1348" s="4"/>
      <c r="R1348" s="4"/>
      <c r="S1348" s="4"/>
      <c r="T1348" s="4"/>
      <c r="U1348" s="4"/>
      <c r="V1348" s="4"/>
      <c r="W1348" s="4"/>
      <c r="X1348" s="4"/>
      <c r="Y1348" s="4"/>
      <c r="Z1348" s="4"/>
      <c r="AA1348" s="4"/>
      <c r="AB1348" s="5"/>
    </row>
    <row r="1349" spans="1:28" x14ac:dyDescent="0.35">
      <c r="A1349" s="3"/>
      <c r="B1349" s="4"/>
      <c r="C1349" s="4"/>
      <c r="D1349" s="4"/>
      <c r="E1349" s="4"/>
      <c r="F1349" s="4"/>
      <c r="G1349" s="4"/>
      <c r="H1349" s="4"/>
      <c r="I1349" s="4"/>
      <c r="J1349" s="4"/>
      <c r="K1349" s="4"/>
      <c r="L1349" s="4"/>
      <c r="M1349" s="4"/>
      <c r="N1349" s="4"/>
      <c r="O1349" s="4"/>
      <c r="P1349" s="4"/>
      <c r="Q1349" s="4"/>
      <c r="R1349" s="4"/>
      <c r="S1349" s="4"/>
      <c r="T1349" s="4"/>
      <c r="U1349" s="4"/>
      <c r="V1349" s="4"/>
      <c r="W1349" s="4"/>
      <c r="X1349" s="4"/>
      <c r="Y1349" s="4"/>
      <c r="Z1349" s="4"/>
      <c r="AA1349" s="4"/>
      <c r="AB1349" s="5"/>
    </row>
    <row r="1350" spans="1:28" x14ac:dyDescent="0.35">
      <c r="A1350" s="3"/>
      <c r="B1350" s="4"/>
      <c r="C1350" s="4"/>
      <c r="D1350" s="4"/>
      <c r="E1350" s="4"/>
      <c r="F1350" s="4"/>
      <c r="G1350" s="4"/>
      <c r="H1350" s="4"/>
      <c r="I1350" s="4"/>
      <c r="J1350" s="4"/>
      <c r="K1350" s="4"/>
      <c r="L1350" s="4"/>
      <c r="M1350" s="4"/>
      <c r="N1350" s="4"/>
      <c r="O1350" s="4"/>
      <c r="P1350" s="4"/>
      <c r="Q1350" s="4"/>
      <c r="R1350" s="4"/>
      <c r="S1350" s="4"/>
      <c r="T1350" s="4"/>
      <c r="U1350" s="4"/>
      <c r="V1350" s="4"/>
      <c r="W1350" s="4"/>
      <c r="X1350" s="4"/>
      <c r="Y1350" s="4"/>
      <c r="Z1350" s="4"/>
      <c r="AA1350" s="4"/>
      <c r="AB1350" s="5"/>
    </row>
    <row r="1351" spans="1:28" x14ac:dyDescent="0.35">
      <c r="A1351" s="3"/>
      <c r="B1351" s="4"/>
      <c r="C1351" s="4"/>
      <c r="D1351" s="4"/>
      <c r="E1351" s="4"/>
      <c r="F1351" s="4"/>
      <c r="G1351" s="4"/>
      <c r="H1351" s="4"/>
      <c r="I1351" s="4"/>
      <c r="J1351" s="4"/>
      <c r="K1351" s="4"/>
      <c r="L1351" s="4"/>
      <c r="M1351" s="4"/>
      <c r="N1351" s="4"/>
      <c r="O1351" s="4"/>
      <c r="P1351" s="4"/>
      <c r="Q1351" s="4"/>
      <c r="R1351" s="4"/>
      <c r="S1351" s="4"/>
      <c r="T1351" s="4"/>
      <c r="U1351" s="4"/>
      <c r="V1351" s="4"/>
      <c r="W1351" s="4"/>
      <c r="X1351" s="4"/>
      <c r="Y1351" s="4"/>
      <c r="Z1351" s="4"/>
      <c r="AA1351" s="4"/>
      <c r="AB1351" s="5"/>
    </row>
    <row r="1352" spans="1:28" x14ac:dyDescent="0.35">
      <c r="A1352" s="3"/>
      <c r="B1352" s="4"/>
      <c r="C1352" s="4"/>
      <c r="D1352" s="4"/>
      <c r="E1352" s="4"/>
      <c r="F1352" s="4"/>
      <c r="G1352" s="4"/>
      <c r="H1352" s="4"/>
      <c r="I1352" s="4"/>
      <c r="J1352" s="4"/>
      <c r="K1352" s="4"/>
      <c r="L1352" s="4"/>
      <c r="M1352" s="4"/>
      <c r="N1352" s="4"/>
      <c r="O1352" s="4"/>
      <c r="P1352" s="4"/>
      <c r="Q1352" s="4"/>
      <c r="R1352" s="4"/>
      <c r="S1352" s="4"/>
      <c r="T1352" s="4"/>
      <c r="U1352" s="4"/>
      <c r="V1352" s="4"/>
      <c r="W1352" s="4"/>
      <c r="X1352" s="4"/>
      <c r="Y1352" s="4"/>
      <c r="Z1352" s="4"/>
      <c r="AA1352" s="4"/>
      <c r="AB1352" s="5"/>
    </row>
    <row r="1353" spans="1:28" x14ac:dyDescent="0.35">
      <c r="A1353" s="3"/>
      <c r="B1353" s="4"/>
      <c r="C1353" s="4"/>
      <c r="D1353" s="4"/>
      <c r="E1353" s="4"/>
      <c r="F1353" s="4"/>
      <c r="G1353" s="4"/>
      <c r="H1353" s="4"/>
      <c r="I1353" s="4"/>
      <c r="J1353" s="4"/>
      <c r="K1353" s="4"/>
      <c r="L1353" s="4"/>
      <c r="M1353" s="4"/>
      <c r="N1353" s="4"/>
      <c r="O1353" s="4"/>
      <c r="P1353" s="4"/>
      <c r="Q1353" s="4"/>
      <c r="R1353" s="4"/>
      <c r="S1353" s="4"/>
      <c r="T1353" s="4"/>
      <c r="U1353" s="4"/>
      <c r="V1353" s="4"/>
      <c r="W1353" s="4"/>
      <c r="X1353" s="4"/>
      <c r="Y1353" s="4"/>
      <c r="Z1353" s="4"/>
      <c r="AA1353" s="4"/>
      <c r="AB1353" s="5"/>
    </row>
    <row r="1354" spans="1:28" x14ac:dyDescent="0.35">
      <c r="A1354" s="3"/>
      <c r="B1354" s="4"/>
      <c r="C1354" s="4"/>
      <c r="D1354" s="4"/>
      <c r="E1354" s="4"/>
      <c r="F1354" s="4"/>
      <c r="G1354" s="4"/>
      <c r="H1354" s="4"/>
      <c r="I1354" s="4"/>
      <c r="J1354" s="4"/>
      <c r="K1354" s="4"/>
      <c r="L1354" s="4"/>
      <c r="M1354" s="4"/>
      <c r="N1354" s="4"/>
      <c r="O1354" s="4"/>
      <c r="P1354" s="4"/>
      <c r="Q1354" s="4"/>
      <c r="R1354" s="4"/>
      <c r="S1354" s="4"/>
      <c r="T1354" s="4"/>
      <c r="U1354" s="4"/>
      <c r="V1354" s="4"/>
      <c r="W1354" s="4"/>
      <c r="X1354" s="4"/>
      <c r="Y1354" s="4"/>
      <c r="Z1354" s="4"/>
      <c r="AA1354" s="4"/>
      <c r="AB1354" s="5"/>
    </row>
    <row r="1355" spans="1:28" x14ac:dyDescent="0.35">
      <c r="A1355" s="3"/>
      <c r="B1355" s="4"/>
      <c r="C1355" s="4"/>
      <c r="D1355" s="4"/>
      <c r="E1355" s="4"/>
      <c r="F1355" s="4"/>
      <c r="G1355" s="4"/>
      <c r="H1355" s="4"/>
      <c r="I1355" s="4"/>
      <c r="J1355" s="4"/>
      <c r="K1355" s="4"/>
      <c r="L1355" s="4"/>
      <c r="M1355" s="4"/>
      <c r="N1355" s="4"/>
      <c r="O1355" s="4"/>
      <c r="P1355" s="4"/>
      <c r="Q1355" s="4"/>
      <c r="R1355" s="4"/>
      <c r="S1355" s="4"/>
      <c r="T1355" s="4"/>
      <c r="U1355" s="4"/>
      <c r="V1355" s="4"/>
      <c r="W1355" s="4"/>
      <c r="X1355" s="4"/>
      <c r="Y1355" s="4"/>
      <c r="Z1355" s="4"/>
      <c r="AA1355" s="4"/>
      <c r="AB1355" s="5"/>
    </row>
    <row r="1356" spans="1:28" x14ac:dyDescent="0.35">
      <c r="A1356" s="3"/>
      <c r="B1356" s="4"/>
      <c r="C1356" s="4"/>
      <c r="D1356" s="4"/>
      <c r="E1356" s="4"/>
      <c r="F1356" s="4"/>
      <c r="G1356" s="4"/>
      <c r="H1356" s="4"/>
      <c r="I1356" s="4"/>
      <c r="J1356" s="4"/>
      <c r="K1356" s="4"/>
      <c r="L1356" s="4"/>
      <c r="M1356" s="4"/>
      <c r="N1356" s="4"/>
      <c r="O1356" s="4"/>
      <c r="P1356" s="4"/>
      <c r="Q1356" s="4"/>
      <c r="R1356" s="4"/>
      <c r="S1356" s="4"/>
      <c r="T1356" s="4"/>
      <c r="U1356" s="4"/>
      <c r="V1356" s="4"/>
      <c r="W1356" s="4"/>
      <c r="X1356" s="4"/>
      <c r="Y1356" s="4"/>
      <c r="Z1356" s="4"/>
      <c r="AA1356" s="4"/>
      <c r="AB1356" s="5"/>
    </row>
    <row r="1357" spans="1:28" x14ac:dyDescent="0.35">
      <c r="A1357" s="3"/>
      <c r="B1357" s="4"/>
      <c r="C1357" s="4"/>
      <c r="D1357" s="4"/>
      <c r="E1357" s="4"/>
      <c r="F1357" s="4"/>
      <c r="G1357" s="4"/>
      <c r="H1357" s="4"/>
      <c r="I1357" s="4"/>
      <c r="J1357" s="4"/>
      <c r="K1357" s="4"/>
      <c r="L1357" s="4"/>
      <c r="M1357" s="4"/>
      <c r="N1357" s="4"/>
      <c r="O1357" s="4"/>
      <c r="P1357" s="4"/>
      <c r="Q1357" s="4"/>
      <c r="R1357" s="4"/>
      <c r="S1357" s="4"/>
      <c r="T1357" s="4"/>
      <c r="U1357" s="4"/>
      <c r="V1357" s="4"/>
      <c r="W1357" s="4"/>
      <c r="X1357" s="4"/>
      <c r="Y1357" s="4"/>
      <c r="Z1357" s="4"/>
      <c r="AA1357" s="4"/>
      <c r="AB1357" s="5"/>
    </row>
    <row r="1358" spans="1:28" x14ac:dyDescent="0.35">
      <c r="A1358" s="3"/>
      <c r="B1358" s="4"/>
      <c r="C1358" s="4"/>
      <c r="D1358" s="4"/>
      <c r="E1358" s="4"/>
      <c r="F1358" s="4"/>
      <c r="G1358" s="4"/>
      <c r="H1358" s="4"/>
      <c r="I1358" s="4"/>
      <c r="J1358" s="4"/>
      <c r="K1358" s="4"/>
      <c r="L1358" s="4"/>
      <c r="M1358" s="4"/>
      <c r="N1358" s="4"/>
      <c r="O1358" s="4"/>
      <c r="P1358" s="4"/>
      <c r="Q1358" s="4"/>
      <c r="R1358" s="4"/>
      <c r="S1358" s="4"/>
      <c r="T1358" s="4"/>
      <c r="U1358" s="4"/>
      <c r="V1358" s="4"/>
      <c r="W1358" s="4"/>
      <c r="X1358" s="4"/>
      <c r="Y1358" s="4"/>
      <c r="Z1358" s="4"/>
      <c r="AA1358" s="4"/>
      <c r="AB1358" s="5"/>
    </row>
    <row r="1359" spans="1:28" x14ac:dyDescent="0.35">
      <c r="A1359" s="3"/>
      <c r="B1359" s="4"/>
      <c r="C1359" s="4"/>
      <c r="D1359" s="4"/>
      <c r="E1359" s="4"/>
      <c r="F1359" s="4"/>
      <c r="G1359" s="4"/>
      <c r="H1359" s="4"/>
      <c r="I1359" s="4"/>
      <c r="J1359" s="4"/>
      <c r="K1359" s="4"/>
      <c r="L1359" s="4"/>
      <c r="M1359" s="4"/>
      <c r="N1359" s="4"/>
      <c r="O1359" s="4"/>
      <c r="P1359" s="4"/>
      <c r="Q1359" s="4"/>
      <c r="R1359" s="4"/>
      <c r="S1359" s="4"/>
      <c r="T1359" s="4"/>
      <c r="U1359" s="4"/>
      <c r="V1359" s="4"/>
      <c r="W1359" s="4"/>
      <c r="X1359" s="4"/>
      <c r="Y1359" s="4"/>
      <c r="Z1359" s="4"/>
      <c r="AA1359" s="4"/>
      <c r="AB1359" s="5"/>
    </row>
    <row r="1360" spans="1:28" x14ac:dyDescent="0.35">
      <c r="A1360" s="3"/>
      <c r="B1360" s="4"/>
      <c r="C1360" s="4"/>
      <c r="D1360" s="4"/>
      <c r="E1360" s="4"/>
      <c r="F1360" s="4"/>
      <c r="G1360" s="4"/>
      <c r="H1360" s="4"/>
      <c r="I1360" s="4"/>
      <c r="J1360" s="4"/>
      <c r="K1360" s="4"/>
      <c r="L1360" s="4"/>
      <c r="M1360" s="4"/>
      <c r="N1360" s="4"/>
      <c r="O1360" s="4"/>
      <c r="P1360" s="4"/>
      <c r="Q1360" s="4"/>
      <c r="R1360" s="4"/>
      <c r="S1360" s="4"/>
      <c r="T1360" s="4"/>
      <c r="U1360" s="4"/>
      <c r="V1360" s="4"/>
      <c r="W1360" s="4"/>
      <c r="X1360" s="4"/>
      <c r="Y1360" s="4"/>
      <c r="Z1360" s="4"/>
      <c r="AA1360" s="4"/>
      <c r="AB1360" s="5"/>
    </row>
    <row r="1361" spans="1:28" x14ac:dyDescent="0.35">
      <c r="A1361" s="3"/>
      <c r="B1361" s="4"/>
      <c r="C1361" s="4"/>
      <c r="D1361" s="4"/>
      <c r="E1361" s="4"/>
      <c r="F1361" s="4"/>
      <c r="G1361" s="4"/>
      <c r="H1361" s="4"/>
      <c r="I1361" s="4"/>
      <c r="J1361" s="4"/>
      <c r="K1361" s="4"/>
      <c r="L1361" s="4"/>
      <c r="M1361" s="4"/>
      <c r="N1361" s="4"/>
      <c r="O1361" s="4"/>
      <c r="P1361" s="4"/>
      <c r="Q1361" s="4"/>
      <c r="R1361" s="4"/>
      <c r="S1361" s="4"/>
      <c r="T1361" s="4"/>
      <c r="U1361" s="4"/>
      <c r="V1361" s="4"/>
      <c r="W1361" s="4"/>
      <c r="X1361" s="4"/>
      <c r="Y1361" s="4"/>
      <c r="Z1361" s="4"/>
      <c r="AA1361" s="4"/>
      <c r="AB1361" s="5"/>
    </row>
    <row r="1362" spans="1:28" x14ac:dyDescent="0.35">
      <c r="A1362" s="3"/>
      <c r="B1362" s="4"/>
      <c r="C1362" s="4"/>
      <c r="D1362" s="4"/>
      <c r="E1362" s="4"/>
      <c r="F1362" s="4"/>
      <c r="G1362" s="4"/>
      <c r="H1362" s="4"/>
      <c r="I1362" s="4"/>
      <c r="J1362" s="4"/>
      <c r="K1362" s="4"/>
      <c r="L1362" s="4"/>
      <c r="M1362" s="4"/>
      <c r="N1362" s="4"/>
      <c r="O1362" s="4"/>
      <c r="P1362" s="4"/>
      <c r="Q1362" s="4"/>
      <c r="R1362" s="4"/>
      <c r="S1362" s="4"/>
      <c r="T1362" s="4"/>
      <c r="U1362" s="4"/>
      <c r="V1362" s="4"/>
      <c r="W1362" s="4"/>
      <c r="X1362" s="4"/>
      <c r="Y1362" s="4"/>
      <c r="Z1362" s="4"/>
      <c r="AA1362" s="4"/>
      <c r="AB1362" s="5"/>
    </row>
    <row r="1363" spans="1:28" x14ac:dyDescent="0.35">
      <c r="A1363" s="3"/>
      <c r="B1363" s="4"/>
      <c r="C1363" s="4"/>
      <c r="D1363" s="4"/>
      <c r="E1363" s="4"/>
      <c r="F1363" s="4"/>
      <c r="G1363" s="4"/>
      <c r="H1363" s="4"/>
      <c r="I1363" s="4"/>
      <c r="J1363" s="4"/>
      <c r="K1363" s="4"/>
      <c r="L1363" s="4"/>
      <c r="M1363" s="4"/>
      <c r="N1363" s="4"/>
      <c r="O1363" s="4"/>
      <c r="P1363" s="4"/>
      <c r="Q1363" s="4"/>
      <c r="R1363" s="4"/>
      <c r="S1363" s="4"/>
      <c r="T1363" s="4"/>
      <c r="U1363" s="4"/>
      <c r="V1363" s="4"/>
      <c r="W1363" s="4"/>
      <c r="X1363" s="4"/>
      <c r="Y1363" s="4"/>
      <c r="Z1363" s="4"/>
      <c r="AA1363" s="4"/>
      <c r="AB1363" s="5"/>
    </row>
    <row r="1364" spans="1:28" x14ac:dyDescent="0.35">
      <c r="A1364" s="3"/>
      <c r="B1364" s="4"/>
      <c r="C1364" s="4"/>
      <c r="D1364" s="4"/>
      <c r="E1364" s="4"/>
      <c r="F1364" s="4"/>
      <c r="G1364" s="4"/>
      <c r="H1364" s="4"/>
      <c r="I1364" s="4"/>
      <c r="J1364" s="4"/>
      <c r="K1364" s="4"/>
      <c r="L1364" s="4"/>
      <c r="M1364" s="4"/>
      <c r="N1364" s="4"/>
      <c r="O1364" s="4"/>
      <c r="P1364" s="4"/>
      <c r="Q1364" s="4"/>
      <c r="R1364" s="4"/>
      <c r="S1364" s="4"/>
      <c r="T1364" s="4"/>
      <c r="U1364" s="4"/>
      <c r="V1364" s="4"/>
      <c r="W1364" s="4"/>
      <c r="X1364" s="4"/>
      <c r="Y1364" s="4"/>
      <c r="Z1364" s="4"/>
      <c r="AA1364" s="4"/>
      <c r="AB1364" s="5"/>
    </row>
    <row r="1365" spans="1:28" x14ac:dyDescent="0.35">
      <c r="A1365" s="3"/>
      <c r="B1365" s="4"/>
      <c r="C1365" s="4"/>
      <c r="D1365" s="4"/>
      <c r="E1365" s="4"/>
      <c r="F1365" s="4"/>
      <c r="G1365" s="4"/>
      <c r="H1365" s="4"/>
      <c r="I1365" s="4"/>
      <c r="J1365" s="4"/>
      <c r="K1365" s="4"/>
      <c r="L1365" s="4"/>
      <c r="M1365" s="4"/>
      <c r="N1365" s="4"/>
      <c r="O1365" s="4"/>
      <c r="P1365" s="4"/>
      <c r="Q1365" s="4"/>
      <c r="R1365" s="4"/>
      <c r="S1365" s="4"/>
      <c r="T1365" s="4"/>
      <c r="U1365" s="4"/>
      <c r="V1365" s="4"/>
      <c r="W1365" s="4"/>
      <c r="X1365" s="4"/>
      <c r="Y1365" s="4"/>
      <c r="Z1365" s="4"/>
      <c r="AA1365" s="4"/>
      <c r="AB1365" s="5"/>
    </row>
    <row r="1366" spans="1:28" x14ac:dyDescent="0.35">
      <c r="A1366" s="3"/>
      <c r="B1366" s="4"/>
      <c r="C1366" s="4"/>
      <c r="D1366" s="4"/>
      <c r="E1366" s="4"/>
      <c r="F1366" s="4"/>
      <c r="G1366" s="4"/>
      <c r="H1366" s="4"/>
      <c r="I1366" s="4"/>
      <c r="J1366" s="4"/>
      <c r="K1366" s="4"/>
      <c r="L1366" s="4"/>
      <c r="M1366" s="4"/>
      <c r="N1366" s="4"/>
      <c r="O1366" s="4"/>
      <c r="P1366" s="4"/>
      <c r="Q1366" s="4"/>
      <c r="R1366" s="4"/>
      <c r="S1366" s="4"/>
      <c r="T1366" s="4"/>
      <c r="U1366" s="4"/>
      <c r="V1366" s="4"/>
      <c r="W1366" s="4"/>
      <c r="X1366" s="4"/>
      <c r="Y1366" s="4"/>
      <c r="Z1366" s="4"/>
      <c r="AA1366" s="4"/>
      <c r="AB1366" s="5"/>
    </row>
    <row r="1367" spans="1:28" x14ac:dyDescent="0.35">
      <c r="A1367" s="3"/>
      <c r="B1367" s="4"/>
      <c r="C1367" s="4"/>
      <c r="D1367" s="4"/>
      <c r="E1367" s="4"/>
      <c r="F1367" s="4"/>
      <c r="G1367" s="4"/>
      <c r="H1367" s="4"/>
      <c r="I1367" s="4"/>
      <c r="J1367" s="4"/>
      <c r="K1367" s="4"/>
      <c r="L1367" s="4"/>
      <c r="M1367" s="4"/>
      <c r="N1367" s="4"/>
      <c r="O1367" s="4"/>
      <c r="P1367" s="4"/>
      <c r="Q1367" s="4"/>
      <c r="R1367" s="4"/>
      <c r="S1367" s="4"/>
      <c r="T1367" s="4"/>
      <c r="U1367" s="4"/>
      <c r="V1367" s="4"/>
      <c r="W1367" s="4"/>
      <c r="X1367" s="4"/>
      <c r="Y1367" s="4"/>
      <c r="Z1367" s="4"/>
      <c r="AA1367" s="4"/>
      <c r="AB1367" s="5"/>
    </row>
    <row r="1368" spans="1:28" x14ac:dyDescent="0.35">
      <c r="A1368" s="3"/>
      <c r="B1368" s="4"/>
      <c r="C1368" s="4"/>
      <c r="D1368" s="4"/>
      <c r="E1368" s="4"/>
      <c r="F1368" s="4"/>
      <c r="G1368" s="4"/>
      <c r="H1368" s="4"/>
      <c r="I1368" s="4"/>
      <c r="J1368" s="4"/>
      <c r="K1368" s="4"/>
      <c r="L1368" s="4"/>
      <c r="M1368" s="4"/>
      <c r="N1368" s="4"/>
      <c r="O1368" s="4"/>
      <c r="P1368" s="4"/>
      <c r="Q1368" s="4"/>
      <c r="R1368" s="4"/>
      <c r="S1368" s="4"/>
      <c r="T1368" s="4"/>
      <c r="U1368" s="4"/>
      <c r="V1368" s="4"/>
      <c r="W1368" s="4"/>
      <c r="X1368" s="4"/>
      <c r="Y1368" s="4"/>
      <c r="Z1368" s="4"/>
      <c r="AA1368" s="4"/>
      <c r="AB1368" s="5"/>
    </row>
    <row r="1369" spans="1:28" x14ac:dyDescent="0.35">
      <c r="A1369" s="3"/>
      <c r="B1369" s="4"/>
      <c r="C1369" s="4"/>
      <c r="D1369" s="4"/>
      <c r="E1369" s="4"/>
      <c r="F1369" s="4"/>
      <c r="G1369" s="4"/>
      <c r="H1369" s="4"/>
      <c r="I1369" s="4"/>
      <c r="J1369" s="4"/>
      <c r="K1369" s="4"/>
      <c r="L1369" s="4"/>
      <c r="M1369" s="4"/>
      <c r="N1369" s="4"/>
      <c r="O1369" s="4"/>
      <c r="P1369" s="4"/>
      <c r="Q1369" s="4"/>
      <c r="R1369" s="4"/>
      <c r="S1369" s="4"/>
      <c r="T1369" s="4"/>
      <c r="U1369" s="4"/>
      <c r="V1369" s="4"/>
      <c r="W1369" s="4"/>
      <c r="X1369" s="4"/>
      <c r="Y1369" s="4"/>
      <c r="Z1369" s="4"/>
      <c r="AA1369" s="4"/>
      <c r="AB1369" s="5"/>
    </row>
    <row r="1370" spans="1:28" x14ac:dyDescent="0.35">
      <c r="A1370" s="3"/>
      <c r="B1370" s="4"/>
      <c r="C1370" s="4"/>
      <c r="D1370" s="4"/>
      <c r="E1370" s="4"/>
      <c r="F1370" s="4"/>
      <c r="G1370" s="4"/>
      <c r="H1370" s="4"/>
      <c r="I1370" s="4"/>
      <c r="J1370" s="4"/>
      <c r="K1370" s="4"/>
      <c r="L1370" s="4"/>
      <c r="M1370" s="4"/>
      <c r="N1370" s="4"/>
      <c r="O1370" s="4"/>
      <c r="P1370" s="4"/>
      <c r="Q1370" s="4"/>
      <c r="R1370" s="4"/>
      <c r="S1370" s="4"/>
      <c r="T1370" s="4"/>
      <c r="U1370" s="4"/>
      <c r="V1370" s="4"/>
      <c r="W1370" s="4"/>
      <c r="X1370" s="4"/>
      <c r="Y1370" s="4"/>
      <c r="Z1370" s="4"/>
      <c r="AA1370" s="4"/>
      <c r="AB1370" s="5"/>
    </row>
    <row r="1371" spans="1:28" x14ac:dyDescent="0.35">
      <c r="A1371" s="3"/>
      <c r="B1371" s="4"/>
      <c r="C1371" s="4"/>
      <c r="D1371" s="4"/>
      <c r="E1371" s="4"/>
      <c r="F1371" s="4"/>
      <c r="G1371" s="4"/>
      <c r="H1371" s="4"/>
      <c r="I1371" s="4"/>
      <c r="J1371" s="4"/>
      <c r="K1371" s="4"/>
      <c r="L1371" s="4"/>
      <c r="M1371" s="4"/>
      <c r="N1371" s="4"/>
      <c r="O1371" s="4"/>
      <c r="P1371" s="4"/>
      <c r="Q1371" s="4"/>
      <c r="R1371" s="4"/>
      <c r="S1371" s="4"/>
      <c r="T1371" s="4"/>
      <c r="U1371" s="4"/>
      <c r="V1371" s="4"/>
      <c r="W1371" s="4"/>
      <c r="X1371" s="4"/>
      <c r="Y1371" s="4"/>
      <c r="Z1371" s="4"/>
      <c r="AA1371" s="4"/>
      <c r="AB1371" s="5"/>
    </row>
    <row r="1372" spans="1:28" x14ac:dyDescent="0.35">
      <c r="A1372" s="3"/>
      <c r="B1372" s="4"/>
      <c r="C1372" s="4"/>
      <c r="D1372" s="4"/>
      <c r="E1372" s="4"/>
      <c r="F1372" s="4"/>
      <c r="G1372" s="4"/>
      <c r="H1372" s="4"/>
      <c r="I1372" s="4"/>
      <c r="J1372" s="4"/>
      <c r="K1372" s="4"/>
      <c r="L1372" s="4"/>
      <c r="M1372" s="4"/>
      <c r="N1372" s="4"/>
      <c r="O1372" s="4"/>
      <c r="P1372" s="4"/>
      <c r="Q1372" s="4"/>
      <c r="R1372" s="4"/>
      <c r="S1372" s="4"/>
      <c r="T1372" s="4"/>
      <c r="U1372" s="4"/>
      <c r="V1372" s="4"/>
      <c r="W1372" s="4"/>
      <c r="X1372" s="4"/>
      <c r="Y1372" s="4"/>
      <c r="Z1372" s="4"/>
      <c r="AA1372" s="4"/>
      <c r="AB1372" s="5"/>
    </row>
    <row r="1373" spans="1:28" x14ac:dyDescent="0.35">
      <c r="A1373" s="3"/>
      <c r="B1373" s="4"/>
      <c r="C1373" s="4"/>
      <c r="D1373" s="4"/>
      <c r="E1373" s="4"/>
      <c r="F1373" s="4"/>
      <c r="G1373" s="4"/>
      <c r="H1373" s="4"/>
      <c r="I1373" s="4"/>
      <c r="J1373" s="4"/>
      <c r="K1373" s="4"/>
      <c r="L1373" s="4"/>
      <c r="M1373" s="4"/>
      <c r="N1373" s="4"/>
      <c r="O1373" s="4"/>
      <c r="P1373" s="4"/>
      <c r="Q1373" s="4"/>
      <c r="R1373" s="4"/>
      <c r="S1373" s="4"/>
      <c r="T1373" s="4"/>
      <c r="U1373" s="4"/>
      <c r="V1373" s="4"/>
      <c r="W1373" s="4"/>
      <c r="X1373" s="4"/>
      <c r="Y1373" s="4"/>
      <c r="Z1373" s="4"/>
      <c r="AA1373" s="4"/>
      <c r="AB1373" s="5"/>
    </row>
    <row r="1374" spans="1:28" x14ac:dyDescent="0.35">
      <c r="A1374" s="3"/>
      <c r="B1374" s="4"/>
      <c r="C1374" s="4"/>
      <c r="D1374" s="4"/>
      <c r="E1374" s="4"/>
      <c r="F1374" s="4"/>
      <c r="G1374" s="4"/>
      <c r="H1374" s="4"/>
      <c r="I1374" s="4"/>
      <c r="J1374" s="4"/>
      <c r="K1374" s="4"/>
      <c r="L1374" s="4"/>
      <c r="M1374" s="4"/>
      <c r="N1374" s="4"/>
      <c r="O1374" s="4"/>
      <c r="P1374" s="4"/>
      <c r="Q1374" s="4"/>
      <c r="R1374" s="4"/>
      <c r="S1374" s="4"/>
      <c r="T1374" s="4"/>
      <c r="U1374" s="4"/>
      <c r="V1374" s="4"/>
      <c r="W1374" s="4"/>
      <c r="X1374" s="4"/>
      <c r="Y1374" s="4"/>
      <c r="Z1374" s="4"/>
      <c r="AA1374" s="4"/>
      <c r="AB1374" s="5"/>
    </row>
    <row r="1375" spans="1:28" x14ac:dyDescent="0.35">
      <c r="A1375" s="3"/>
      <c r="B1375" s="4"/>
      <c r="C1375" s="4"/>
      <c r="D1375" s="4"/>
      <c r="E1375" s="4"/>
      <c r="F1375" s="4"/>
      <c r="G1375" s="4"/>
      <c r="H1375" s="4"/>
      <c r="I1375" s="4"/>
      <c r="J1375" s="4"/>
      <c r="K1375" s="4"/>
      <c r="L1375" s="4"/>
      <c r="M1375" s="4"/>
      <c r="N1375" s="4"/>
      <c r="O1375" s="4"/>
      <c r="P1375" s="4"/>
      <c r="Q1375" s="4"/>
      <c r="R1375" s="4"/>
      <c r="S1375" s="4"/>
      <c r="T1375" s="4"/>
      <c r="U1375" s="4"/>
      <c r="V1375" s="4"/>
      <c r="W1375" s="4"/>
      <c r="X1375" s="4"/>
      <c r="Y1375" s="4"/>
      <c r="Z1375" s="4"/>
      <c r="AA1375" s="4"/>
      <c r="AB1375" s="5"/>
    </row>
    <row r="1376" spans="1:28" x14ac:dyDescent="0.35">
      <c r="A1376" s="3"/>
      <c r="B1376" s="4"/>
      <c r="C1376" s="4"/>
      <c r="D1376" s="4"/>
      <c r="E1376" s="4"/>
      <c r="F1376" s="4"/>
      <c r="G1376" s="4"/>
      <c r="H1376" s="4"/>
      <c r="I1376" s="4"/>
      <c r="J1376" s="4"/>
      <c r="K1376" s="4"/>
      <c r="L1376" s="4"/>
      <c r="M1376" s="4"/>
      <c r="N1376" s="4"/>
      <c r="O1376" s="4"/>
      <c r="P1376" s="4"/>
      <c r="Q1376" s="4"/>
      <c r="R1376" s="4"/>
      <c r="S1376" s="4"/>
      <c r="T1376" s="4"/>
      <c r="U1376" s="4"/>
      <c r="V1376" s="4"/>
      <c r="W1376" s="4"/>
      <c r="X1376" s="4"/>
      <c r="Y1376" s="4"/>
      <c r="Z1376" s="4"/>
      <c r="AA1376" s="4"/>
      <c r="AB1376" s="5"/>
    </row>
    <row r="1377" spans="1:28" x14ac:dyDescent="0.35">
      <c r="A1377" s="3"/>
      <c r="B1377" s="4"/>
      <c r="C1377" s="4"/>
      <c r="D1377" s="4"/>
      <c r="E1377" s="4"/>
      <c r="F1377" s="4"/>
      <c r="G1377" s="4"/>
      <c r="H1377" s="4"/>
      <c r="I1377" s="4"/>
      <c r="J1377" s="4"/>
      <c r="K1377" s="4"/>
      <c r="L1377" s="4"/>
      <c r="M1377" s="4"/>
      <c r="N1377" s="4"/>
      <c r="O1377" s="4"/>
      <c r="P1377" s="4"/>
      <c r="Q1377" s="4"/>
      <c r="R1377" s="4"/>
      <c r="S1377" s="4"/>
      <c r="T1377" s="4"/>
      <c r="U1377" s="4"/>
      <c r="V1377" s="4"/>
      <c r="W1377" s="4"/>
      <c r="X1377" s="4"/>
      <c r="Y1377" s="4"/>
      <c r="Z1377" s="4"/>
      <c r="AA1377" s="4"/>
      <c r="AB1377" s="5"/>
    </row>
    <row r="1378" spans="1:28" x14ac:dyDescent="0.35">
      <c r="A1378" s="3"/>
      <c r="B1378" s="4"/>
      <c r="C1378" s="4"/>
      <c r="D1378" s="4"/>
      <c r="E1378" s="4"/>
      <c r="F1378" s="4"/>
      <c r="G1378" s="4"/>
      <c r="H1378" s="4"/>
      <c r="I1378" s="4"/>
      <c r="J1378" s="4"/>
      <c r="K1378" s="4"/>
      <c r="L1378" s="4"/>
      <c r="M1378" s="4"/>
      <c r="N1378" s="4"/>
      <c r="O1378" s="4"/>
      <c r="P1378" s="4"/>
      <c r="Q1378" s="4"/>
      <c r="R1378" s="4"/>
      <c r="S1378" s="4"/>
      <c r="T1378" s="4"/>
      <c r="U1378" s="4"/>
      <c r="V1378" s="4"/>
      <c r="W1378" s="4"/>
      <c r="X1378" s="4"/>
      <c r="Y1378" s="4"/>
      <c r="Z1378" s="4"/>
      <c r="AA1378" s="4"/>
      <c r="AB1378" s="5"/>
    </row>
    <row r="1379" spans="1:28" x14ac:dyDescent="0.35">
      <c r="A1379" s="3"/>
      <c r="B1379" s="4"/>
      <c r="C1379" s="4"/>
      <c r="D1379" s="4"/>
      <c r="E1379" s="4"/>
      <c r="F1379" s="4"/>
      <c r="G1379" s="4"/>
      <c r="H1379" s="4"/>
      <c r="I1379" s="4"/>
      <c r="J1379" s="4"/>
      <c r="K1379" s="4"/>
      <c r="L1379" s="4"/>
      <c r="M1379" s="4"/>
      <c r="N1379" s="4"/>
      <c r="O1379" s="4"/>
      <c r="P1379" s="4"/>
      <c r="Q1379" s="4"/>
      <c r="R1379" s="4"/>
      <c r="S1379" s="4"/>
      <c r="T1379" s="4"/>
      <c r="U1379" s="4"/>
      <c r="V1379" s="4"/>
      <c r="W1379" s="4"/>
      <c r="X1379" s="4"/>
      <c r="Y1379" s="4"/>
      <c r="Z1379" s="4"/>
      <c r="AA1379" s="4"/>
      <c r="AB1379" s="5"/>
    </row>
    <row r="1380" spans="1:28" x14ac:dyDescent="0.35">
      <c r="A1380" s="3"/>
      <c r="B1380" s="4"/>
      <c r="C1380" s="4"/>
      <c r="D1380" s="4"/>
      <c r="E1380" s="4"/>
      <c r="F1380" s="4"/>
      <c r="G1380" s="4"/>
      <c r="H1380" s="4"/>
      <c r="I1380" s="4"/>
      <c r="J1380" s="4"/>
      <c r="K1380" s="4"/>
      <c r="L1380" s="4"/>
      <c r="M1380" s="4"/>
      <c r="N1380" s="4"/>
      <c r="O1380" s="4"/>
      <c r="P1380" s="4"/>
      <c r="Q1380" s="4"/>
      <c r="R1380" s="4"/>
      <c r="S1380" s="4"/>
      <c r="T1380" s="4"/>
      <c r="U1380" s="4"/>
      <c r="V1380" s="4"/>
      <c r="W1380" s="4"/>
      <c r="X1380" s="4"/>
      <c r="Y1380" s="4"/>
      <c r="Z1380" s="4"/>
      <c r="AA1380" s="4"/>
      <c r="AB1380" s="5"/>
    </row>
    <row r="1381" spans="1:28" x14ac:dyDescent="0.35">
      <c r="A1381" s="3"/>
      <c r="B1381" s="4"/>
      <c r="C1381" s="4"/>
      <c r="D1381" s="4"/>
      <c r="E1381" s="4"/>
      <c r="F1381" s="4"/>
      <c r="G1381" s="4"/>
      <c r="H1381" s="4"/>
      <c r="I1381" s="4"/>
      <c r="J1381" s="4"/>
      <c r="K1381" s="4"/>
      <c r="L1381" s="4"/>
      <c r="M1381" s="4"/>
      <c r="N1381" s="4"/>
      <c r="O1381" s="4"/>
      <c r="P1381" s="4"/>
      <c r="Q1381" s="4"/>
      <c r="R1381" s="4"/>
      <c r="S1381" s="4"/>
      <c r="T1381" s="4"/>
      <c r="U1381" s="4"/>
      <c r="V1381" s="4"/>
      <c r="W1381" s="4"/>
      <c r="X1381" s="4"/>
      <c r="Y1381" s="4"/>
      <c r="Z1381" s="4"/>
      <c r="AA1381" s="4"/>
      <c r="AB1381" s="5"/>
    </row>
    <row r="1382" spans="1:28" x14ac:dyDescent="0.35">
      <c r="A1382" s="3"/>
      <c r="B1382" s="4"/>
      <c r="C1382" s="4"/>
      <c r="D1382" s="4"/>
      <c r="E1382" s="4"/>
      <c r="F1382" s="4"/>
      <c r="G1382" s="4"/>
      <c r="H1382" s="4"/>
      <c r="I1382" s="4"/>
      <c r="J1382" s="4"/>
      <c r="K1382" s="4"/>
      <c r="L1382" s="4"/>
      <c r="M1382" s="4"/>
      <c r="N1382" s="4"/>
      <c r="O1382" s="4"/>
      <c r="P1382" s="4"/>
      <c r="Q1382" s="4"/>
      <c r="R1382" s="4"/>
      <c r="S1382" s="4"/>
      <c r="T1382" s="4"/>
      <c r="U1382" s="4"/>
      <c r="V1382" s="4"/>
      <c r="W1382" s="4"/>
      <c r="X1382" s="4"/>
      <c r="Y1382" s="4"/>
      <c r="Z1382" s="4"/>
      <c r="AA1382" s="4"/>
      <c r="AB1382" s="5"/>
    </row>
    <row r="1383" spans="1:28" x14ac:dyDescent="0.35">
      <c r="A1383" s="3"/>
      <c r="B1383" s="4"/>
      <c r="C1383" s="4"/>
      <c r="D1383" s="4"/>
      <c r="E1383" s="4"/>
      <c r="F1383" s="4"/>
      <c r="G1383" s="4"/>
      <c r="H1383" s="4"/>
      <c r="I1383" s="4"/>
      <c r="J1383" s="4"/>
      <c r="K1383" s="4"/>
      <c r="L1383" s="4"/>
      <c r="M1383" s="4"/>
      <c r="N1383" s="4"/>
      <c r="O1383" s="4"/>
      <c r="P1383" s="4"/>
      <c r="Q1383" s="4"/>
      <c r="R1383" s="4"/>
      <c r="S1383" s="4"/>
      <c r="T1383" s="4"/>
      <c r="U1383" s="4"/>
      <c r="V1383" s="4"/>
      <c r="W1383" s="4"/>
      <c r="X1383" s="4"/>
      <c r="Y1383" s="4"/>
      <c r="Z1383" s="4"/>
      <c r="AA1383" s="4"/>
      <c r="AB1383" s="5"/>
    </row>
    <row r="1384" spans="1:28" x14ac:dyDescent="0.35">
      <c r="A1384" s="3"/>
      <c r="B1384" s="4"/>
      <c r="C1384" s="4"/>
      <c r="D1384" s="4"/>
      <c r="E1384" s="4"/>
      <c r="F1384" s="4"/>
      <c r="G1384" s="4"/>
      <c r="H1384" s="4"/>
      <c r="I1384" s="4"/>
      <c r="J1384" s="4"/>
      <c r="K1384" s="4"/>
      <c r="L1384" s="4"/>
      <c r="M1384" s="4"/>
      <c r="N1384" s="4"/>
      <c r="O1384" s="4"/>
      <c r="P1384" s="4"/>
      <c r="Q1384" s="4"/>
      <c r="R1384" s="4"/>
      <c r="S1384" s="4"/>
      <c r="T1384" s="4"/>
      <c r="U1384" s="4"/>
      <c r="V1384" s="4"/>
      <c r="W1384" s="4"/>
      <c r="X1384" s="4"/>
      <c r="Y1384" s="4"/>
      <c r="Z1384" s="4"/>
      <c r="AA1384" s="4"/>
      <c r="AB1384" s="5"/>
    </row>
    <row r="1385" spans="1:28" x14ac:dyDescent="0.35">
      <c r="A1385" s="3"/>
      <c r="B1385" s="4"/>
      <c r="C1385" s="4"/>
      <c r="D1385" s="4"/>
      <c r="E1385" s="4"/>
      <c r="F1385" s="4"/>
      <c r="G1385" s="4"/>
      <c r="H1385" s="4"/>
      <c r="I1385" s="4"/>
      <c r="J1385" s="4"/>
      <c r="K1385" s="4"/>
      <c r="L1385" s="4"/>
      <c r="M1385" s="4"/>
      <c r="N1385" s="4"/>
      <c r="O1385" s="4"/>
      <c r="P1385" s="4"/>
      <c r="Q1385" s="4"/>
      <c r="R1385" s="4"/>
      <c r="S1385" s="4"/>
      <c r="T1385" s="4"/>
      <c r="U1385" s="4"/>
      <c r="V1385" s="4"/>
      <c r="W1385" s="4"/>
      <c r="X1385" s="4"/>
      <c r="Y1385" s="4"/>
      <c r="Z1385" s="4"/>
      <c r="AA1385" s="4"/>
      <c r="AB1385" s="5"/>
    </row>
    <row r="1386" spans="1:28" x14ac:dyDescent="0.35">
      <c r="A1386" s="3"/>
      <c r="B1386" s="4"/>
      <c r="C1386" s="4"/>
      <c r="D1386" s="4"/>
      <c r="E1386" s="4"/>
      <c r="F1386" s="4"/>
      <c r="G1386" s="4"/>
      <c r="H1386" s="4"/>
      <c r="I1386" s="4"/>
      <c r="J1386" s="4"/>
      <c r="K1386" s="4"/>
      <c r="L1386" s="4"/>
      <c r="M1386" s="4"/>
      <c r="N1386" s="4"/>
      <c r="O1386" s="4"/>
      <c r="P1386" s="4"/>
      <c r="Q1386" s="4"/>
      <c r="R1386" s="4"/>
      <c r="S1386" s="4"/>
      <c r="T1386" s="4"/>
      <c r="U1386" s="4"/>
      <c r="V1386" s="4"/>
      <c r="W1386" s="4"/>
      <c r="X1386" s="4"/>
      <c r="Y1386" s="4"/>
      <c r="Z1386" s="4"/>
      <c r="AA1386" s="4"/>
      <c r="AB1386" s="5"/>
    </row>
    <row r="1387" spans="1:28" x14ac:dyDescent="0.35">
      <c r="A1387" s="3"/>
      <c r="B1387" s="4"/>
      <c r="C1387" s="4"/>
      <c r="D1387" s="4"/>
      <c r="E1387" s="4"/>
      <c r="F1387" s="4"/>
      <c r="G1387" s="4"/>
      <c r="H1387" s="4"/>
      <c r="I1387" s="4"/>
      <c r="J1387" s="4"/>
      <c r="K1387" s="4"/>
      <c r="L1387" s="4"/>
      <c r="M1387" s="4"/>
      <c r="N1387" s="4"/>
      <c r="O1387" s="4"/>
      <c r="P1387" s="4"/>
      <c r="Q1387" s="4"/>
      <c r="R1387" s="4"/>
      <c r="S1387" s="4"/>
      <c r="T1387" s="4"/>
      <c r="U1387" s="4"/>
      <c r="V1387" s="4"/>
      <c r="W1387" s="4"/>
      <c r="X1387" s="4"/>
      <c r="Y1387" s="4"/>
      <c r="Z1387" s="4"/>
      <c r="AA1387" s="4"/>
      <c r="AB1387" s="5"/>
    </row>
    <row r="1388" spans="1:28" x14ac:dyDescent="0.35">
      <c r="A1388" s="3"/>
      <c r="B1388" s="4"/>
      <c r="C1388" s="4"/>
      <c r="D1388" s="4"/>
      <c r="E1388" s="4"/>
      <c r="F1388" s="4"/>
      <c r="G1388" s="4"/>
      <c r="H1388" s="4"/>
      <c r="I1388" s="4"/>
      <c r="J1388" s="4"/>
      <c r="K1388" s="4"/>
      <c r="L1388" s="4"/>
      <c r="M1388" s="4"/>
      <c r="N1388" s="4"/>
      <c r="O1388" s="4"/>
      <c r="P1388" s="4"/>
      <c r="Q1388" s="4"/>
      <c r="R1388" s="4"/>
      <c r="S1388" s="4"/>
      <c r="T1388" s="4"/>
      <c r="U1388" s="4"/>
      <c r="V1388" s="4"/>
      <c r="W1388" s="4"/>
      <c r="X1388" s="4"/>
      <c r="Y1388" s="4"/>
      <c r="Z1388" s="4"/>
      <c r="AA1388" s="4"/>
      <c r="AB1388" s="5"/>
    </row>
    <row r="1389" spans="1:28" x14ac:dyDescent="0.35">
      <c r="A1389" s="3"/>
      <c r="B1389" s="4"/>
      <c r="C1389" s="4"/>
      <c r="D1389" s="4"/>
      <c r="E1389" s="4"/>
      <c r="F1389" s="4"/>
      <c r="G1389" s="4"/>
      <c r="H1389" s="4"/>
      <c r="I1389" s="4"/>
      <c r="J1389" s="4"/>
      <c r="K1389" s="4"/>
      <c r="L1389" s="4"/>
      <c r="M1389" s="4"/>
      <c r="N1389" s="4"/>
      <c r="O1389" s="4"/>
      <c r="P1389" s="4"/>
      <c r="Q1389" s="4"/>
      <c r="R1389" s="4"/>
      <c r="S1389" s="4"/>
      <c r="T1389" s="4"/>
      <c r="U1389" s="4"/>
      <c r="V1389" s="4"/>
      <c r="W1389" s="4"/>
      <c r="X1389" s="4"/>
      <c r="Y1389" s="4"/>
      <c r="Z1389" s="4"/>
      <c r="AA1389" s="4"/>
      <c r="AB1389" s="5"/>
    </row>
    <row r="1390" spans="1:28" x14ac:dyDescent="0.35">
      <c r="A1390" s="3"/>
      <c r="B1390" s="4"/>
      <c r="C1390" s="4"/>
      <c r="D1390" s="4"/>
      <c r="E1390" s="4"/>
      <c r="F1390" s="4"/>
      <c r="G1390" s="4"/>
      <c r="H1390" s="4"/>
      <c r="I1390" s="4"/>
      <c r="J1390" s="4"/>
      <c r="K1390" s="4"/>
      <c r="L1390" s="4"/>
      <c r="M1390" s="4"/>
      <c r="N1390" s="4"/>
      <c r="O1390" s="4"/>
      <c r="P1390" s="4"/>
      <c r="Q1390" s="4"/>
      <c r="R1390" s="4"/>
      <c r="S1390" s="4"/>
      <c r="T1390" s="4"/>
      <c r="U1390" s="4"/>
      <c r="V1390" s="4"/>
      <c r="W1390" s="4"/>
      <c r="X1390" s="4"/>
      <c r="Y1390" s="4"/>
      <c r="Z1390" s="4"/>
      <c r="AA1390" s="4"/>
      <c r="AB1390" s="5"/>
    </row>
    <row r="1391" spans="1:28" x14ac:dyDescent="0.35">
      <c r="A1391" s="3"/>
      <c r="B1391" s="4"/>
      <c r="C1391" s="4"/>
      <c r="D1391" s="4"/>
      <c r="E1391" s="4"/>
      <c r="F1391" s="4"/>
      <c r="G1391" s="4"/>
      <c r="H1391" s="4"/>
      <c r="I1391" s="4"/>
      <c r="J1391" s="4"/>
      <c r="K1391" s="4"/>
      <c r="L1391" s="4"/>
      <c r="M1391" s="4"/>
      <c r="N1391" s="4"/>
      <c r="O1391" s="4"/>
      <c r="P1391" s="4"/>
      <c r="Q1391" s="4"/>
      <c r="R1391" s="4"/>
      <c r="S1391" s="4"/>
      <c r="T1391" s="4"/>
      <c r="U1391" s="4"/>
      <c r="V1391" s="4"/>
      <c r="W1391" s="4"/>
      <c r="X1391" s="4"/>
      <c r="Y1391" s="4"/>
      <c r="Z1391" s="4"/>
      <c r="AA1391" s="4"/>
      <c r="AB1391" s="5"/>
    </row>
    <row r="1392" spans="1:28" x14ac:dyDescent="0.35">
      <c r="A1392" s="3"/>
      <c r="B1392" s="4"/>
      <c r="C1392" s="4"/>
      <c r="D1392" s="4"/>
      <c r="E1392" s="4"/>
      <c r="F1392" s="4"/>
      <c r="G1392" s="4"/>
      <c r="H1392" s="4"/>
      <c r="I1392" s="4"/>
      <c r="J1392" s="4"/>
      <c r="K1392" s="4"/>
      <c r="L1392" s="4"/>
      <c r="M1392" s="4"/>
      <c r="N1392" s="4"/>
      <c r="O1392" s="4"/>
      <c r="P1392" s="4"/>
      <c r="Q1392" s="4"/>
      <c r="R1392" s="4"/>
      <c r="S1392" s="4"/>
      <c r="T1392" s="4"/>
      <c r="U1392" s="4"/>
      <c r="V1392" s="4"/>
      <c r="W1392" s="4"/>
      <c r="X1392" s="4"/>
      <c r="Y1392" s="4"/>
      <c r="Z1392" s="4"/>
      <c r="AA1392" s="4"/>
      <c r="AB1392" s="5"/>
    </row>
    <row r="1393" spans="1:28" x14ac:dyDescent="0.35">
      <c r="A1393" s="3"/>
      <c r="B1393" s="4"/>
      <c r="C1393" s="4"/>
      <c r="D1393" s="4"/>
      <c r="E1393" s="4"/>
      <c r="F1393" s="4"/>
      <c r="G1393" s="4"/>
      <c r="H1393" s="4"/>
      <c r="I1393" s="4"/>
      <c r="J1393" s="4"/>
      <c r="K1393" s="4"/>
      <c r="L1393" s="4"/>
      <c r="M1393" s="4"/>
      <c r="N1393" s="4"/>
      <c r="O1393" s="4"/>
      <c r="P1393" s="4"/>
      <c r="Q1393" s="4"/>
      <c r="R1393" s="4"/>
      <c r="S1393" s="4"/>
      <c r="T1393" s="4"/>
      <c r="U1393" s="4"/>
      <c r="V1393" s="4"/>
      <c r="W1393" s="4"/>
      <c r="X1393" s="4"/>
      <c r="Y1393" s="4"/>
      <c r="Z1393" s="4"/>
      <c r="AA1393" s="4"/>
      <c r="AB1393" s="5"/>
    </row>
    <row r="1394" spans="1:28" x14ac:dyDescent="0.35">
      <c r="A1394" s="3"/>
      <c r="B1394" s="4"/>
      <c r="C1394" s="4"/>
      <c r="D1394" s="4"/>
      <c r="E1394" s="4"/>
      <c r="F1394" s="4"/>
      <c r="G1394" s="4"/>
      <c r="H1394" s="4"/>
      <c r="I1394" s="4"/>
      <c r="J1394" s="4"/>
      <c r="K1394" s="4"/>
      <c r="L1394" s="4"/>
      <c r="M1394" s="4"/>
      <c r="N1394" s="4"/>
      <c r="O1394" s="4"/>
      <c r="P1394" s="4"/>
      <c r="Q1394" s="4"/>
      <c r="R1394" s="4"/>
      <c r="S1394" s="4"/>
      <c r="T1394" s="4"/>
      <c r="U1394" s="4"/>
      <c r="V1394" s="4"/>
      <c r="W1394" s="4"/>
      <c r="X1394" s="4"/>
      <c r="Y1394" s="4"/>
      <c r="Z1394" s="4"/>
      <c r="AA1394" s="4"/>
      <c r="AB1394" s="5"/>
    </row>
    <row r="1395" spans="1:28" x14ac:dyDescent="0.35">
      <c r="A1395" s="3"/>
      <c r="B1395" s="4"/>
      <c r="C1395" s="4"/>
      <c r="D1395" s="4"/>
      <c r="E1395" s="4"/>
      <c r="F1395" s="4"/>
      <c r="G1395" s="4"/>
      <c r="H1395" s="4"/>
      <c r="I1395" s="4"/>
      <c r="J1395" s="4"/>
      <c r="K1395" s="4"/>
      <c r="L1395" s="4"/>
      <c r="M1395" s="4"/>
      <c r="N1395" s="4"/>
      <c r="O1395" s="4"/>
      <c r="P1395" s="4"/>
      <c r="Q1395" s="4"/>
      <c r="R1395" s="4"/>
      <c r="S1395" s="4"/>
      <c r="T1395" s="4"/>
      <c r="U1395" s="4"/>
      <c r="V1395" s="4"/>
      <c r="W1395" s="4"/>
      <c r="X1395" s="4"/>
      <c r="Y1395" s="4"/>
      <c r="Z1395" s="4"/>
      <c r="AA1395" s="4"/>
      <c r="AB1395" s="5"/>
    </row>
    <row r="1396" spans="1:28" x14ac:dyDescent="0.35">
      <c r="A1396" s="3"/>
      <c r="B1396" s="4"/>
      <c r="C1396" s="4"/>
      <c r="D1396" s="4"/>
      <c r="E1396" s="4"/>
      <c r="F1396" s="4"/>
      <c r="G1396" s="4"/>
      <c r="H1396" s="4"/>
      <c r="I1396" s="4"/>
      <c r="J1396" s="4"/>
      <c r="K1396" s="4"/>
      <c r="L1396" s="4"/>
      <c r="M1396" s="4"/>
      <c r="N1396" s="4"/>
      <c r="O1396" s="4"/>
      <c r="P1396" s="4"/>
      <c r="Q1396" s="4"/>
      <c r="R1396" s="4"/>
      <c r="S1396" s="4"/>
      <c r="T1396" s="4"/>
      <c r="U1396" s="4"/>
      <c r="V1396" s="4"/>
      <c r="W1396" s="4"/>
      <c r="X1396" s="4"/>
      <c r="Y1396" s="4"/>
      <c r="Z1396" s="4"/>
      <c r="AA1396" s="4"/>
      <c r="AB1396" s="5"/>
    </row>
    <row r="1397" spans="1:28" x14ac:dyDescent="0.35">
      <c r="A1397" s="3"/>
      <c r="B1397" s="4"/>
      <c r="C1397" s="4"/>
      <c r="D1397" s="4"/>
      <c r="E1397" s="4"/>
      <c r="F1397" s="4"/>
      <c r="G1397" s="4"/>
      <c r="H1397" s="4"/>
      <c r="I1397" s="4"/>
      <c r="J1397" s="4"/>
      <c r="K1397" s="4"/>
      <c r="L1397" s="4"/>
      <c r="M1397" s="4"/>
      <c r="N1397" s="4"/>
      <c r="O1397" s="4"/>
      <c r="P1397" s="4"/>
      <c r="Q1397" s="4"/>
      <c r="R1397" s="4"/>
      <c r="S1397" s="4"/>
      <c r="T1397" s="4"/>
      <c r="U1397" s="4"/>
      <c r="V1397" s="4"/>
      <c r="W1397" s="4"/>
      <c r="X1397" s="4"/>
      <c r="Y1397" s="4"/>
      <c r="Z1397" s="4"/>
      <c r="AA1397" s="4"/>
      <c r="AB1397" s="5"/>
    </row>
    <row r="1398" spans="1:28" x14ac:dyDescent="0.35">
      <c r="A1398" s="3"/>
      <c r="B1398" s="4"/>
      <c r="C1398" s="4"/>
      <c r="D1398" s="4"/>
      <c r="E1398" s="4"/>
      <c r="F1398" s="4"/>
      <c r="G1398" s="4"/>
      <c r="H1398" s="4"/>
      <c r="I1398" s="4"/>
      <c r="J1398" s="4"/>
      <c r="K1398" s="4"/>
      <c r="L1398" s="4"/>
      <c r="M1398" s="4"/>
      <c r="N1398" s="4"/>
      <c r="O1398" s="4"/>
      <c r="P1398" s="4"/>
      <c r="Q1398" s="4"/>
      <c r="R1398" s="4"/>
      <c r="S1398" s="4"/>
      <c r="T1398" s="4"/>
      <c r="U1398" s="4"/>
      <c r="V1398" s="4"/>
      <c r="W1398" s="4"/>
      <c r="X1398" s="4"/>
      <c r="Y1398" s="4"/>
      <c r="Z1398" s="4"/>
      <c r="AA1398" s="4"/>
      <c r="AB1398" s="5"/>
    </row>
    <row r="1399" spans="1:28" x14ac:dyDescent="0.35">
      <c r="A1399" s="3"/>
      <c r="B1399" s="4"/>
      <c r="C1399" s="4"/>
      <c r="D1399" s="4"/>
      <c r="E1399" s="4"/>
      <c r="F1399" s="4"/>
      <c r="G1399" s="4"/>
      <c r="H1399" s="4"/>
      <c r="I1399" s="4"/>
      <c r="J1399" s="4"/>
      <c r="K1399" s="4"/>
      <c r="L1399" s="4"/>
      <c r="M1399" s="4"/>
      <c r="N1399" s="4"/>
      <c r="O1399" s="4"/>
      <c r="P1399" s="4"/>
      <c r="Q1399" s="4"/>
      <c r="R1399" s="4"/>
      <c r="S1399" s="4"/>
      <c r="T1399" s="4"/>
      <c r="U1399" s="4"/>
      <c r="V1399" s="4"/>
      <c r="W1399" s="4"/>
      <c r="X1399" s="4"/>
      <c r="Y1399" s="4"/>
      <c r="Z1399" s="4"/>
      <c r="AA1399" s="4"/>
      <c r="AB1399" s="5"/>
    </row>
    <row r="1400" spans="1:28" x14ac:dyDescent="0.35">
      <c r="A1400" s="3"/>
      <c r="B1400" s="4"/>
      <c r="C1400" s="4"/>
      <c r="D1400" s="4"/>
      <c r="E1400" s="4"/>
      <c r="F1400" s="4"/>
      <c r="G1400" s="4"/>
      <c r="H1400" s="4"/>
      <c r="I1400" s="4"/>
      <c r="J1400" s="4"/>
      <c r="K1400" s="4"/>
      <c r="L1400" s="4"/>
      <c r="M1400" s="4"/>
      <c r="N1400" s="4"/>
      <c r="O1400" s="4"/>
      <c r="P1400" s="4"/>
      <c r="Q1400" s="4"/>
      <c r="R1400" s="4"/>
      <c r="S1400" s="4"/>
      <c r="T1400" s="4"/>
      <c r="U1400" s="4"/>
      <c r="V1400" s="4"/>
      <c r="W1400" s="4"/>
      <c r="X1400" s="4"/>
      <c r="Y1400" s="4"/>
      <c r="Z1400" s="4"/>
      <c r="AA1400" s="4"/>
      <c r="AB1400" s="5"/>
    </row>
    <row r="1401" spans="1:28" x14ac:dyDescent="0.35">
      <c r="A1401" s="3"/>
      <c r="B1401" s="4"/>
      <c r="C1401" s="4"/>
      <c r="D1401" s="4"/>
      <c r="E1401" s="4"/>
      <c r="F1401" s="4"/>
      <c r="G1401" s="4"/>
      <c r="H1401" s="4"/>
      <c r="I1401" s="4"/>
      <c r="J1401" s="4"/>
      <c r="K1401" s="4"/>
      <c r="L1401" s="4"/>
      <c r="M1401" s="4"/>
      <c r="N1401" s="4"/>
      <c r="O1401" s="4"/>
      <c r="P1401" s="4"/>
      <c r="Q1401" s="4"/>
      <c r="R1401" s="4"/>
      <c r="S1401" s="4"/>
      <c r="T1401" s="4"/>
      <c r="U1401" s="4"/>
      <c r="V1401" s="4"/>
      <c r="W1401" s="4"/>
      <c r="X1401" s="4"/>
      <c r="Y1401" s="4"/>
      <c r="Z1401" s="4"/>
      <c r="AA1401" s="4"/>
      <c r="AB1401" s="5"/>
    </row>
    <row r="1402" spans="1:28" x14ac:dyDescent="0.35">
      <c r="A1402" s="3"/>
      <c r="B1402" s="4"/>
      <c r="C1402" s="4"/>
      <c r="D1402" s="4"/>
      <c r="E1402" s="4"/>
      <c r="F1402" s="4"/>
      <c r="G1402" s="4"/>
      <c r="H1402" s="4"/>
      <c r="I1402" s="4"/>
      <c r="J1402" s="4"/>
      <c r="K1402" s="4"/>
      <c r="L1402" s="4"/>
      <c r="M1402" s="4"/>
      <c r="N1402" s="4"/>
      <c r="O1402" s="4"/>
      <c r="P1402" s="4"/>
      <c r="Q1402" s="4"/>
      <c r="R1402" s="4"/>
      <c r="S1402" s="4"/>
      <c r="T1402" s="4"/>
      <c r="U1402" s="4"/>
      <c r="V1402" s="4"/>
      <c r="W1402" s="4"/>
      <c r="X1402" s="4"/>
      <c r="Y1402" s="4"/>
      <c r="Z1402" s="4"/>
      <c r="AA1402" s="4"/>
      <c r="AB1402" s="5"/>
    </row>
    <row r="1403" spans="1:28" x14ac:dyDescent="0.35">
      <c r="A1403" s="3"/>
      <c r="B1403" s="4"/>
      <c r="C1403" s="4"/>
      <c r="D1403" s="4"/>
      <c r="E1403" s="4"/>
      <c r="F1403" s="4"/>
      <c r="G1403" s="4"/>
      <c r="H1403" s="4"/>
      <c r="I1403" s="4"/>
      <c r="J1403" s="4"/>
      <c r="K1403" s="4"/>
      <c r="L1403" s="4"/>
      <c r="M1403" s="4"/>
      <c r="N1403" s="4"/>
      <c r="O1403" s="4"/>
      <c r="P1403" s="4"/>
      <c r="Q1403" s="4"/>
      <c r="R1403" s="4"/>
      <c r="S1403" s="4"/>
      <c r="T1403" s="4"/>
      <c r="U1403" s="4"/>
      <c r="V1403" s="4"/>
      <c r="W1403" s="4"/>
      <c r="X1403" s="4"/>
      <c r="Y1403" s="4"/>
      <c r="Z1403" s="4"/>
      <c r="AA1403" s="4"/>
      <c r="AB1403" s="5"/>
    </row>
    <row r="1404" spans="1:28" x14ac:dyDescent="0.35">
      <c r="A1404" s="3"/>
      <c r="B1404" s="4"/>
      <c r="C1404" s="4"/>
      <c r="D1404" s="4"/>
      <c r="E1404" s="4"/>
      <c r="F1404" s="4"/>
      <c r="G1404" s="4"/>
      <c r="H1404" s="4"/>
      <c r="I1404" s="4"/>
      <c r="J1404" s="4"/>
      <c r="K1404" s="4"/>
      <c r="L1404" s="4"/>
      <c r="M1404" s="4"/>
      <c r="N1404" s="4"/>
      <c r="O1404" s="4"/>
      <c r="P1404" s="4"/>
      <c r="Q1404" s="4"/>
      <c r="R1404" s="4"/>
      <c r="S1404" s="4"/>
      <c r="T1404" s="4"/>
      <c r="U1404" s="4"/>
      <c r="V1404" s="4"/>
      <c r="W1404" s="4"/>
      <c r="X1404" s="4"/>
      <c r="Y1404" s="4"/>
      <c r="Z1404" s="4"/>
      <c r="AA1404" s="4"/>
      <c r="AB1404" s="5"/>
    </row>
    <row r="1405" spans="1:28" x14ac:dyDescent="0.35">
      <c r="A1405" s="3"/>
      <c r="B1405" s="4"/>
      <c r="C1405" s="4"/>
      <c r="D1405" s="4"/>
      <c r="E1405" s="4"/>
      <c r="F1405" s="4"/>
      <c r="G1405" s="4"/>
      <c r="H1405" s="4"/>
      <c r="I1405" s="4"/>
      <c r="J1405" s="4"/>
      <c r="K1405" s="4"/>
      <c r="L1405" s="4"/>
      <c r="M1405" s="4"/>
      <c r="N1405" s="4"/>
      <c r="O1405" s="4"/>
      <c r="P1405" s="4"/>
      <c r="Q1405" s="4"/>
      <c r="R1405" s="4"/>
      <c r="S1405" s="4"/>
      <c r="T1405" s="4"/>
      <c r="U1405" s="4"/>
      <c r="V1405" s="4"/>
      <c r="W1405" s="4"/>
      <c r="X1405" s="4"/>
      <c r="Y1405" s="4"/>
      <c r="Z1405" s="4"/>
      <c r="AA1405" s="4"/>
      <c r="AB1405" s="5"/>
    </row>
    <row r="1406" spans="1:28" x14ac:dyDescent="0.35">
      <c r="A1406" s="3"/>
      <c r="B1406" s="4"/>
      <c r="C1406" s="4"/>
      <c r="D1406" s="4"/>
      <c r="E1406" s="4"/>
      <c r="F1406" s="4"/>
      <c r="G1406" s="4"/>
      <c r="H1406" s="4"/>
      <c r="I1406" s="4"/>
      <c r="J1406" s="4"/>
      <c r="K1406" s="4"/>
      <c r="L1406" s="4"/>
      <c r="M1406" s="4"/>
      <c r="N1406" s="4"/>
      <c r="O1406" s="4"/>
      <c r="P1406" s="4"/>
      <c r="Q1406" s="4"/>
      <c r="R1406" s="4"/>
      <c r="S1406" s="4"/>
      <c r="T1406" s="4"/>
      <c r="U1406" s="4"/>
      <c r="V1406" s="4"/>
      <c r="W1406" s="4"/>
      <c r="X1406" s="4"/>
      <c r="Y1406" s="4"/>
      <c r="Z1406" s="4"/>
      <c r="AA1406" s="4"/>
      <c r="AB1406" s="5"/>
    </row>
    <row r="1407" spans="1:28" x14ac:dyDescent="0.35">
      <c r="A1407" s="3"/>
      <c r="B1407" s="4"/>
      <c r="C1407" s="4"/>
      <c r="D1407" s="4"/>
      <c r="E1407" s="4"/>
      <c r="F1407" s="4"/>
      <c r="G1407" s="4"/>
      <c r="H1407" s="4"/>
      <c r="I1407" s="4"/>
      <c r="J1407" s="4"/>
      <c r="K1407" s="4"/>
      <c r="L1407" s="4"/>
      <c r="M1407" s="4"/>
      <c r="N1407" s="4"/>
      <c r="O1407" s="4"/>
      <c r="P1407" s="4"/>
      <c r="Q1407" s="4"/>
      <c r="R1407" s="4"/>
      <c r="S1407" s="4"/>
      <c r="T1407" s="4"/>
      <c r="U1407" s="4"/>
      <c r="V1407" s="4"/>
      <c r="W1407" s="4"/>
      <c r="X1407" s="4"/>
      <c r="Y1407" s="4"/>
      <c r="Z1407" s="4"/>
      <c r="AA1407" s="4"/>
      <c r="AB1407" s="5"/>
    </row>
    <row r="1408" spans="1:28" x14ac:dyDescent="0.35">
      <c r="A1408" s="3"/>
      <c r="B1408" s="4"/>
      <c r="C1408" s="4"/>
      <c r="D1408" s="4"/>
      <c r="E1408" s="4"/>
      <c r="F1408" s="4"/>
      <c r="G1408" s="4"/>
      <c r="H1408" s="4"/>
      <c r="I1408" s="4"/>
      <c r="J1408" s="4"/>
      <c r="K1408" s="4"/>
      <c r="L1408" s="4"/>
      <c r="M1408" s="4"/>
      <c r="N1408" s="4"/>
      <c r="O1408" s="4"/>
      <c r="P1408" s="4"/>
      <c r="Q1408" s="4"/>
      <c r="R1408" s="4"/>
      <c r="S1408" s="4"/>
      <c r="T1408" s="4"/>
      <c r="U1408" s="4"/>
      <c r="V1408" s="4"/>
      <c r="W1408" s="4"/>
      <c r="X1408" s="4"/>
      <c r="Y1408" s="4"/>
      <c r="Z1408" s="4"/>
      <c r="AA1408" s="4"/>
      <c r="AB1408" s="5"/>
    </row>
    <row r="1409" spans="1:28" x14ac:dyDescent="0.35">
      <c r="A1409" s="3"/>
      <c r="B1409" s="4"/>
      <c r="C1409" s="4"/>
      <c r="D1409" s="4"/>
      <c r="E1409" s="4"/>
      <c r="F1409" s="4"/>
      <c r="G1409" s="4"/>
      <c r="H1409" s="4"/>
      <c r="I1409" s="4"/>
      <c r="J1409" s="4"/>
      <c r="K1409" s="4"/>
      <c r="L1409" s="4"/>
      <c r="M1409" s="4"/>
      <c r="N1409" s="4"/>
      <c r="O1409" s="4"/>
      <c r="P1409" s="4"/>
      <c r="Q1409" s="4"/>
      <c r="R1409" s="4"/>
      <c r="S1409" s="4"/>
      <c r="T1409" s="4"/>
      <c r="U1409" s="4"/>
      <c r="V1409" s="4"/>
      <c r="W1409" s="4"/>
      <c r="X1409" s="4"/>
      <c r="Y1409" s="4"/>
      <c r="Z1409" s="4"/>
      <c r="AA1409" s="4"/>
      <c r="AB1409" s="5"/>
    </row>
    <row r="1410" spans="1:28" x14ac:dyDescent="0.35">
      <c r="A1410" s="3"/>
      <c r="B1410" s="4"/>
      <c r="C1410" s="4"/>
      <c r="D1410" s="4"/>
      <c r="E1410" s="4"/>
      <c r="F1410" s="4"/>
      <c r="G1410" s="4"/>
      <c r="H1410" s="4"/>
      <c r="I1410" s="4"/>
      <c r="J1410" s="4"/>
      <c r="K1410" s="4"/>
      <c r="L1410" s="4"/>
      <c r="M1410" s="4"/>
      <c r="N1410" s="4"/>
      <c r="O1410" s="4"/>
      <c r="P1410" s="4"/>
      <c r="Q1410" s="4"/>
      <c r="R1410" s="4"/>
      <c r="S1410" s="4"/>
      <c r="T1410" s="4"/>
      <c r="U1410" s="4"/>
      <c r="V1410" s="4"/>
      <c r="W1410" s="4"/>
      <c r="X1410" s="4"/>
      <c r="Y1410" s="4"/>
      <c r="Z1410" s="4"/>
      <c r="AA1410" s="4"/>
      <c r="AB1410" s="5"/>
    </row>
    <row r="1411" spans="1:28" x14ac:dyDescent="0.35">
      <c r="A1411" s="3"/>
      <c r="B1411" s="4"/>
      <c r="C1411" s="4"/>
      <c r="D1411" s="4"/>
      <c r="E1411" s="4"/>
      <c r="F1411" s="4"/>
      <c r="G1411" s="4"/>
      <c r="H1411" s="4"/>
      <c r="I1411" s="4"/>
      <c r="J1411" s="4"/>
      <c r="K1411" s="4"/>
      <c r="L1411" s="4"/>
      <c r="M1411" s="4"/>
      <c r="N1411" s="4"/>
      <c r="O1411" s="4"/>
      <c r="P1411" s="4"/>
      <c r="Q1411" s="4"/>
      <c r="R1411" s="4"/>
      <c r="S1411" s="4"/>
      <c r="T1411" s="4"/>
      <c r="U1411" s="4"/>
      <c r="V1411" s="4"/>
      <c r="W1411" s="4"/>
      <c r="X1411" s="4"/>
      <c r="Y1411" s="4"/>
      <c r="Z1411" s="4"/>
      <c r="AA1411" s="4"/>
      <c r="AB1411" s="5"/>
    </row>
    <row r="1412" spans="1:28" x14ac:dyDescent="0.35">
      <c r="A1412" s="3"/>
      <c r="B1412" s="4"/>
      <c r="C1412" s="4"/>
      <c r="D1412" s="4"/>
      <c r="E1412" s="4"/>
      <c r="F1412" s="4"/>
      <c r="G1412" s="4"/>
      <c r="H1412" s="4"/>
      <c r="I1412" s="4"/>
      <c r="J1412" s="4"/>
      <c r="K1412" s="4"/>
      <c r="L1412" s="4"/>
      <c r="M1412" s="4"/>
      <c r="N1412" s="4"/>
      <c r="O1412" s="4"/>
      <c r="P1412" s="4"/>
      <c r="Q1412" s="4"/>
      <c r="R1412" s="4"/>
      <c r="S1412" s="4"/>
      <c r="T1412" s="4"/>
      <c r="U1412" s="4"/>
      <c r="V1412" s="4"/>
      <c r="W1412" s="4"/>
      <c r="X1412" s="4"/>
      <c r="Y1412" s="4"/>
      <c r="Z1412" s="4"/>
      <c r="AA1412" s="4"/>
      <c r="AB1412" s="5"/>
    </row>
    <row r="1413" spans="1:28" x14ac:dyDescent="0.35">
      <c r="A1413" s="3"/>
      <c r="B1413" s="4"/>
      <c r="C1413" s="4"/>
      <c r="D1413" s="4"/>
      <c r="E1413" s="4"/>
      <c r="F1413" s="4"/>
      <c r="G1413" s="4"/>
      <c r="H1413" s="4"/>
      <c r="I1413" s="4"/>
      <c r="J1413" s="4"/>
      <c r="K1413" s="4"/>
      <c r="L1413" s="4"/>
      <c r="M1413" s="4"/>
      <c r="N1413" s="4"/>
      <c r="O1413" s="4"/>
      <c r="P1413" s="4"/>
      <c r="Q1413" s="4"/>
      <c r="R1413" s="4"/>
      <c r="S1413" s="4"/>
      <c r="T1413" s="4"/>
      <c r="U1413" s="4"/>
      <c r="V1413" s="4"/>
      <c r="W1413" s="4"/>
      <c r="X1413" s="4"/>
      <c r="Y1413" s="4"/>
      <c r="Z1413" s="4"/>
      <c r="AA1413" s="4"/>
      <c r="AB1413" s="5"/>
    </row>
    <row r="1414" spans="1:28" x14ac:dyDescent="0.35">
      <c r="A1414" s="3"/>
      <c r="B1414" s="4"/>
      <c r="C1414" s="4"/>
      <c r="D1414" s="4"/>
      <c r="E1414" s="4"/>
      <c r="F1414" s="4"/>
      <c r="G1414" s="4"/>
      <c r="H1414" s="4"/>
      <c r="I1414" s="4"/>
      <c r="J1414" s="4"/>
      <c r="K1414" s="4"/>
      <c r="L1414" s="4"/>
      <c r="M1414" s="4"/>
      <c r="N1414" s="4"/>
      <c r="O1414" s="4"/>
      <c r="P1414" s="4"/>
      <c r="Q1414" s="4"/>
      <c r="R1414" s="4"/>
      <c r="S1414" s="4"/>
      <c r="T1414" s="4"/>
      <c r="U1414" s="4"/>
      <c r="V1414" s="4"/>
      <c r="W1414" s="4"/>
      <c r="X1414" s="4"/>
      <c r="Y1414" s="4"/>
      <c r="Z1414" s="4"/>
      <c r="AA1414" s="4"/>
      <c r="AB1414" s="5"/>
    </row>
    <row r="1415" spans="1:28" x14ac:dyDescent="0.35">
      <c r="A1415" s="3"/>
      <c r="B1415" s="4"/>
      <c r="C1415" s="4"/>
      <c r="D1415" s="4"/>
      <c r="E1415" s="4"/>
      <c r="F1415" s="4"/>
      <c r="G1415" s="4"/>
      <c r="H1415" s="4"/>
      <c r="I1415" s="4"/>
      <c r="J1415" s="4"/>
      <c r="K1415" s="4"/>
      <c r="L1415" s="4"/>
      <c r="M1415" s="4"/>
      <c r="N1415" s="4"/>
      <c r="O1415" s="4"/>
      <c r="P1415" s="4"/>
      <c r="Q1415" s="4"/>
      <c r="R1415" s="4"/>
      <c r="S1415" s="4"/>
      <c r="T1415" s="4"/>
      <c r="U1415" s="4"/>
      <c r="V1415" s="4"/>
      <c r="W1415" s="4"/>
      <c r="X1415" s="4"/>
      <c r="Y1415" s="4"/>
      <c r="Z1415" s="4"/>
      <c r="AA1415" s="4"/>
      <c r="AB1415" s="5"/>
    </row>
    <row r="1416" spans="1:28" x14ac:dyDescent="0.35">
      <c r="A1416" s="3"/>
      <c r="B1416" s="4"/>
      <c r="C1416" s="4"/>
      <c r="D1416" s="4"/>
      <c r="E1416" s="4"/>
      <c r="F1416" s="4"/>
      <c r="G1416" s="4"/>
      <c r="H1416" s="4"/>
      <c r="I1416" s="4"/>
      <c r="J1416" s="4"/>
      <c r="K1416" s="4"/>
      <c r="L1416" s="4"/>
      <c r="M1416" s="4"/>
      <c r="N1416" s="4"/>
      <c r="O1416" s="4"/>
      <c r="P1416" s="4"/>
      <c r="Q1416" s="4"/>
      <c r="R1416" s="4"/>
      <c r="S1416" s="4"/>
      <c r="T1416" s="4"/>
      <c r="U1416" s="4"/>
      <c r="V1416" s="4"/>
      <c r="W1416" s="4"/>
      <c r="X1416" s="4"/>
      <c r="Y1416" s="4"/>
      <c r="Z1416" s="4"/>
      <c r="AA1416" s="4"/>
      <c r="AB1416" s="5"/>
    </row>
    <row r="1417" spans="1:28" x14ac:dyDescent="0.35">
      <c r="A1417" s="3"/>
      <c r="B1417" s="4"/>
      <c r="C1417" s="4"/>
      <c r="D1417" s="4"/>
      <c r="E1417" s="4"/>
      <c r="F1417" s="4"/>
      <c r="G1417" s="4"/>
      <c r="H1417" s="4"/>
      <c r="I1417" s="4"/>
      <c r="J1417" s="4"/>
      <c r="K1417" s="4"/>
      <c r="L1417" s="4"/>
      <c r="M1417" s="4"/>
      <c r="N1417" s="4"/>
      <c r="O1417" s="4"/>
      <c r="P1417" s="4"/>
      <c r="Q1417" s="4"/>
      <c r="R1417" s="4"/>
      <c r="S1417" s="4"/>
      <c r="T1417" s="4"/>
      <c r="U1417" s="4"/>
      <c r="V1417" s="4"/>
      <c r="W1417" s="4"/>
      <c r="X1417" s="4"/>
      <c r="Y1417" s="4"/>
      <c r="Z1417" s="4"/>
      <c r="AA1417" s="4"/>
      <c r="AB1417" s="5"/>
    </row>
    <row r="1418" spans="1:28" x14ac:dyDescent="0.35">
      <c r="A1418" s="3"/>
      <c r="B1418" s="4"/>
      <c r="C1418" s="4"/>
      <c r="D1418" s="4"/>
      <c r="E1418" s="4"/>
      <c r="F1418" s="4"/>
      <c r="G1418" s="4"/>
      <c r="H1418" s="4"/>
      <c r="I1418" s="4"/>
      <c r="J1418" s="4"/>
      <c r="K1418" s="4"/>
      <c r="L1418" s="4"/>
      <c r="M1418" s="4"/>
      <c r="N1418" s="4"/>
      <c r="O1418" s="4"/>
      <c r="P1418" s="4"/>
      <c r="Q1418" s="4"/>
      <c r="R1418" s="4"/>
      <c r="S1418" s="4"/>
      <c r="T1418" s="4"/>
      <c r="U1418" s="4"/>
      <c r="V1418" s="4"/>
      <c r="W1418" s="4"/>
      <c r="X1418" s="4"/>
      <c r="Y1418" s="4"/>
      <c r="Z1418" s="4"/>
      <c r="AA1418" s="4"/>
      <c r="AB1418" s="5"/>
    </row>
    <row r="1419" spans="1:28" x14ac:dyDescent="0.35">
      <c r="A1419" s="3"/>
      <c r="B1419" s="4"/>
      <c r="C1419" s="4"/>
      <c r="D1419" s="4"/>
      <c r="E1419" s="4"/>
      <c r="F1419" s="4"/>
      <c r="G1419" s="4"/>
      <c r="H1419" s="4"/>
      <c r="I1419" s="4"/>
      <c r="J1419" s="4"/>
      <c r="K1419" s="4"/>
      <c r="L1419" s="4"/>
      <c r="M1419" s="4"/>
      <c r="N1419" s="4"/>
      <c r="O1419" s="4"/>
      <c r="P1419" s="4"/>
      <c r="Q1419" s="4"/>
      <c r="R1419" s="4"/>
      <c r="S1419" s="4"/>
      <c r="T1419" s="4"/>
      <c r="U1419" s="4"/>
      <c r="V1419" s="4"/>
      <c r="W1419" s="4"/>
      <c r="X1419" s="4"/>
      <c r="Y1419" s="4"/>
      <c r="Z1419" s="4"/>
      <c r="AA1419" s="4"/>
      <c r="AB1419" s="5"/>
    </row>
    <row r="1420" spans="1:28" x14ac:dyDescent="0.35">
      <c r="A1420" s="3"/>
      <c r="B1420" s="4"/>
      <c r="C1420" s="4"/>
      <c r="D1420" s="4"/>
      <c r="E1420" s="4"/>
      <c r="F1420" s="4"/>
      <c r="G1420" s="4"/>
      <c r="H1420" s="4"/>
      <c r="I1420" s="4"/>
      <c r="J1420" s="4"/>
      <c r="K1420" s="4"/>
      <c r="L1420" s="4"/>
      <c r="M1420" s="4"/>
      <c r="N1420" s="4"/>
      <c r="O1420" s="4"/>
      <c r="P1420" s="4"/>
      <c r="Q1420" s="4"/>
      <c r="R1420" s="4"/>
      <c r="S1420" s="4"/>
      <c r="T1420" s="4"/>
      <c r="U1420" s="4"/>
      <c r="V1420" s="4"/>
      <c r="W1420" s="4"/>
      <c r="X1420" s="4"/>
      <c r="Y1420" s="4"/>
      <c r="Z1420" s="4"/>
      <c r="AA1420" s="4"/>
      <c r="AB1420" s="5"/>
    </row>
    <row r="1421" spans="1:28" x14ac:dyDescent="0.35">
      <c r="A1421" s="3"/>
      <c r="B1421" s="4"/>
      <c r="C1421" s="4"/>
      <c r="D1421" s="4"/>
      <c r="E1421" s="4"/>
      <c r="F1421" s="4"/>
      <c r="G1421" s="4"/>
      <c r="H1421" s="4"/>
      <c r="I1421" s="4"/>
      <c r="J1421" s="4"/>
      <c r="K1421" s="4"/>
      <c r="L1421" s="4"/>
      <c r="M1421" s="4"/>
      <c r="N1421" s="4"/>
      <c r="O1421" s="4"/>
      <c r="P1421" s="4"/>
      <c r="Q1421" s="4"/>
      <c r="R1421" s="4"/>
      <c r="S1421" s="4"/>
      <c r="T1421" s="4"/>
      <c r="U1421" s="4"/>
      <c r="V1421" s="4"/>
      <c r="W1421" s="4"/>
      <c r="X1421" s="4"/>
      <c r="Y1421" s="4"/>
      <c r="Z1421" s="4"/>
      <c r="AA1421" s="4"/>
      <c r="AB1421" s="5"/>
    </row>
    <row r="1422" spans="1:28" x14ac:dyDescent="0.35">
      <c r="A1422" s="3"/>
      <c r="B1422" s="4"/>
      <c r="C1422" s="4"/>
      <c r="D1422" s="4"/>
      <c r="E1422" s="4"/>
      <c r="F1422" s="4"/>
      <c r="G1422" s="4"/>
      <c r="H1422" s="4"/>
      <c r="I1422" s="4"/>
      <c r="J1422" s="4"/>
      <c r="K1422" s="4"/>
      <c r="L1422" s="4"/>
      <c r="M1422" s="4"/>
      <c r="N1422" s="4"/>
      <c r="O1422" s="4"/>
      <c r="P1422" s="4"/>
      <c r="Q1422" s="4"/>
      <c r="R1422" s="4"/>
      <c r="S1422" s="4"/>
      <c r="T1422" s="4"/>
      <c r="U1422" s="4"/>
      <c r="V1422" s="4"/>
      <c r="W1422" s="4"/>
      <c r="X1422" s="4"/>
      <c r="Y1422" s="4"/>
      <c r="Z1422" s="4"/>
      <c r="AA1422" s="4"/>
      <c r="AB1422" s="5"/>
    </row>
    <row r="1423" spans="1:28" x14ac:dyDescent="0.35">
      <c r="A1423" s="3"/>
      <c r="B1423" s="4"/>
      <c r="C1423" s="4"/>
      <c r="D1423" s="4"/>
      <c r="E1423" s="4"/>
      <c r="F1423" s="4"/>
      <c r="G1423" s="4"/>
      <c r="H1423" s="4"/>
      <c r="I1423" s="4"/>
      <c r="J1423" s="4"/>
      <c r="K1423" s="4"/>
      <c r="L1423" s="4"/>
      <c r="M1423" s="4"/>
      <c r="N1423" s="4"/>
      <c r="O1423" s="4"/>
      <c r="P1423" s="4"/>
      <c r="Q1423" s="4"/>
      <c r="R1423" s="4"/>
      <c r="S1423" s="4"/>
      <c r="T1423" s="4"/>
      <c r="U1423" s="4"/>
      <c r="V1423" s="4"/>
      <c r="W1423" s="4"/>
      <c r="X1423" s="4"/>
      <c r="Y1423" s="4"/>
      <c r="Z1423" s="4"/>
      <c r="AA1423" s="4"/>
      <c r="AB1423" s="5"/>
    </row>
    <row r="1424" spans="1:28" x14ac:dyDescent="0.35">
      <c r="A1424" s="3"/>
      <c r="B1424" s="4"/>
      <c r="C1424" s="4"/>
      <c r="D1424" s="4"/>
      <c r="E1424" s="4"/>
      <c r="F1424" s="4"/>
      <c r="G1424" s="4"/>
      <c r="H1424" s="4"/>
      <c r="I1424" s="4"/>
      <c r="J1424" s="4"/>
      <c r="K1424" s="4"/>
      <c r="L1424" s="4"/>
      <c r="M1424" s="4"/>
      <c r="N1424" s="4"/>
      <c r="O1424" s="4"/>
      <c r="P1424" s="4"/>
      <c r="Q1424" s="4"/>
      <c r="R1424" s="4"/>
      <c r="S1424" s="4"/>
      <c r="T1424" s="4"/>
      <c r="U1424" s="4"/>
      <c r="V1424" s="4"/>
      <c r="W1424" s="4"/>
      <c r="X1424" s="4"/>
      <c r="Y1424" s="4"/>
      <c r="Z1424" s="4"/>
      <c r="AA1424" s="4"/>
      <c r="AB1424" s="5"/>
    </row>
    <row r="1425" spans="1:28" x14ac:dyDescent="0.35">
      <c r="A1425" s="3"/>
      <c r="B1425" s="4"/>
      <c r="C1425" s="4"/>
      <c r="D1425" s="4"/>
      <c r="E1425" s="4"/>
      <c r="F1425" s="4"/>
      <c r="G1425" s="4"/>
      <c r="H1425" s="4"/>
      <c r="I1425" s="4"/>
      <c r="J1425" s="4"/>
      <c r="K1425" s="4"/>
      <c r="L1425" s="4"/>
      <c r="M1425" s="4"/>
      <c r="N1425" s="4"/>
      <c r="O1425" s="4"/>
      <c r="P1425" s="4"/>
      <c r="Q1425" s="4"/>
      <c r="R1425" s="4"/>
      <c r="S1425" s="4"/>
      <c r="T1425" s="4"/>
      <c r="U1425" s="4"/>
      <c r="V1425" s="4"/>
      <c r="W1425" s="4"/>
      <c r="X1425" s="4"/>
      <c r="Y1425" s="4"/>
      <c r="Z1425" s="4"/>
      <c r="AA1425" s="4"/>
      <c r="AB1425" s="5"/>
    </row>
    <row r="1426" spans="1:28" x14ac:dyDescent="0.35">
      <c r="A1426" s="3"/>
      <c r="B1426" s="4"/>
      <c r="C1426" s="4"/>
      <c r="D1426" s="4"/>
      <c r="E1426" s="4"/>
      <c r="F1426" s="4"/>
      <c r="G1426" s="4"/>
      <c r="H1426" s="4"/>
      <c r="I1426" s="4"/>
      <c r="J1426" s="4"/>
      <c r="K1426" s="4"/>
      <c r="L1426" s="4"/>
      <c r="M1426" s="4"/>
      <c r="N1426" s="4"/>
      <c r="O1426" s="4"/>
      <c r="P1426" s="4"/>
      <c r="Q1426" s="4"/>
      <c r="R1426" s="4"/>
      <c r="S1426" s="4"/>
      <c r="T1426" s="4"/>
      <c r="U1426" s="4"/>
      <c r="V1426" s="4"/>
      <c r="W1426" s="4"/>
      <c r="X1426" s="4"/>
      <c r="Y1426" s="4"/>
      <c r="Z1426" s="4"/>
      <c r="AA1426" s="4"/>
      <c r="AB1426" s="5"/>
    </row>
    <row r="1427" spans="1:28" x14ac:dyDescent="0.35">
      <c r="A1427" s="3"/>
      <c r="B1427" s="4"/>
      <c r="C1427" s="4"/>
      <c r="D1427" s="4"/>
      <c r="E1427" s="4"/>
      <c r="F1427" s="4"/>
      <c r="G1427" s="4"/>
      <c r="H1427" s="4"/>
      <c r="I1427" s="4"/>
      <c r="J1427" s="4"/>
      <c r="K1427" s="4"/>
      <c r="L1427" s="4"/>
      <c r="M1427" s="4"/>
      <c r="N1427" s="4"/>
      <c r="O1427" s="4"/>
      <c r="P1427" s="4"/>
      <c r="Q1427" s="4"/>
      <c r="R1427" s="4"/>
      <c r="S1427" s="4"/>
      <c r="T1427" s="4"/>
      <c r="U1427" s="4"/>
      <c r="V1427" s="4"/>
      <c r="W1427" s="4"/>
      <c r="X1427" s="4"/>
      <c r="Y1427" s="4"/>
      <c r="Z1427" s="4"/>
      <c r="AA1427" s="4"/>
      <c r="AB1427" s="5"/>
    </row>
    <row r="1428" spans="1:28" x14ac:dyDescent="0.35">
      <c r="A1428" s="3"/>
      <c r="B1428" s="4"/>
      <c r="C1428" s="4"/>
      <c r="D1428" s="4"/>
      <c r="E1428" s="4"/>
      <c r="F1428" s="4"/>
      <c r="G1428" s="4"/>
      <c r="H1428" s="4"/>
      <c r="I1428" s="4"/>
      <c r="J1428" s="4"/>
      <c r="K1428" s="4"/>
      <c r="L1428" s="4"/>
      <c r="M1428" s="4"/>
      <c r="N1428" s="4"/>
      <c r="O1428" s="4"/>
      <c r="P1428" s="4"/>
      <c r="Q1428" s="4"/>
      <c r="R1428" s="4"/>
      <c r="S1428" s="4"/>
      <c r="T1428" s="4"/>
      <c r="U1428" s="4"/>
      <c r="V1428" s="4"/>
      <c r="W1428" s="4"/>
      <c r="X1428" s="4"/>
      <c r="Y1428" s="4"/>
      <c r="Z1428" s="4"/>
      <c r="AA1428" s="4"/>
      <c r="AB1428" s="5"/>
    </row>
    <row r="1429" spans="1:28" x14ac:dyDescent="0.35">
      <c r="A1429" s="3"/>
      <c r="B1429" s="4"/>
      <c r="C1429" s="4"/>
      <c r="D1429" s="4"/>
      <c r="E1429" s="4"/>
      <c r="F1429" s="4"/>
      <c r="G1429" s="4"/>
      <c r="H1429" s="4"/>
      <c r="I1429" s="4"/>
      <c r="J1429" s="4"/>
      <c r="K1429" s="4"/>
      <c r="L1429" s="4"/>
      <c r="M1429" s="4"/>
      <c r="N1429" s="4"/>
      <c r="O1429" s="4"/>
      <c r="P1429" s="4"/>
      <c r="Q1429" s="4"/>
      <c r="R1429" s="4"/>
      <c r="S1429" s="4"/>
      <c r="T1429" s="4"/>
      <c r="U1429" s="4"/>
      <c r="V1429" s="4"/>
      <c r="W1429" s="4"/>
      <c r="X1429" s="4"/>
      <c r="Y1429" s="4"/>
      <c r="Z1429" s="4"/>
      <c r="AA1429" s="4"/>
      <c r="AB1429" s="5"/>
    </row>
    <row r="1430" spans="1:28" x14ac:dyDescent="0.35">
      <c r="A1430" s="3"/>
      <c r="B1430" s="4"/>
      <c r="C1430" s="4"/>
      <c r="D1430" s="4"/>
      <c r="E1430" s="4"/>
      <c r="F1430" s="4"/>
      <c r="G1430" s="4"/>
      <c r="H1430" s="4"/>
      <c r="I1430" s="4"/>
      <c r="J1430" s="4"/>
      <c r="K1430" s="4"/>
      <c r="L1430" s="4"/>
      <c r="M1430" s="4"/>
      <c r="N1430" s="4"/>
      <c r="O1430" s="4"/>
      <c r="P1430" s="4"/>
      <c r="Q1430" s="4"/>
      <c r="R1430" s="4"/>
      <c r="S1430" s="4"/>
      <c r="T1430" s="4"/>
      <c r="U1430" s="4"/>
      <c r="V1430" s="4"/>
      <c r="W1430" s="4"/>
      <c r="X1430" s="4"/>
      <c r="Y1430" s="4"/>
      <c r="Z1430" s="4"/>
      <c r="AA1430" s="4"/>
      <c r="AB1430" s="5"/>
    </row>
    <row r="1431" spans="1:28" x14ac:dyDescent="0.35">
      <c r="A1431" s="3"/>
      <c r="B1431" s="4"/>
      <c r="C1431" s="4"/>
      <c r="D1431" s="4"/>
      <c r="E1431" s="4"/>
      <c r="F1431" s="4"/>
      <c r="G1431" s="4"/>
      <c r="H1431" s="4"/>
      <c r="I1431" s="4"/>
      <c r="J1431" s="4"/>
      <c r="K1431" s="4"/>
      <c r="L1431" s="4"/>
      <c r="M1431" s="4"/>
      <c r="N1431" s="4"/>
      <c r="O1431" s="4"/>
      <c r="P1431" s="4"/>
      <c r="Q1431" s="4"/>
      <c r="R1431" s="4"/>
      <c r="S1431" s="4"/>
      <c r="T1431" s="4"/>
      <c r="U1431" s="4"/>
      <c r="V1431" s="4"/>
      <c r="W1431" s="4"/>
      <c r="X1431" s="4"/>
      <c r="Y1431" s="4"/>
      <c r="Z1431" s="4"/>
      <c r="AA1431" s="4"/>
      <c r="AB1431" s="5"/>
    </row>
    <row r="1432" spans="1:28" x14ac:dyDescent="0.35">
      <c r="A1432" s="3"/>
      <c r="B1432" s="4"/>
      <c r="C1432" s="4"/>
      <c r="D1432" s="4"/>
      <c r="E1432" s="4"/>
      <c r="F1432" s="4"/>
      <c r="G1432" s="4"/>
      <c r="H1432" s="4"/>
      <c r="I1432" s="4"/>
      <c r="J1432" s="4"/>
      <c r="K1432" s="4"/>
      <c r="L1432" s="4"/>
      <c r="M1432" s="4"/>
      <c r="N1432" s="4"/>
      <c r="O1432" s="4"/>
      <c r="P1432" s="4"/>
      <c r="Q1432" s="4"/>
      <c r="R1432" s="4"/>
      <c r="S1432" s="4"/>
      <c r="T1432" s="4"/>
      <c r="U1432" s="4"/>
      <c r="V1432" s="4"/>
      <c r="W1432" s="4"/>
      <c r="X1432" s="4"/>
      <c r="Y1432" s="4"/>
      <c r="Z1432" s="4"/>
      <c r="AA1432" s="4"/>
      <c r="AB1432" s="5"/>
    </row>
    <row r="1433" spans="1:28" x14ac:dyDescent="0.35">
      <c r="A1433" s="3"/>
      <c r="B1433" s="4"/>
      <c r="C1433" s="4"/>
      <c r="D1433" s="4"/>
      <c r="E1433" s="4"/>
      <c r="F1433" s="4"/>
      <c r="G1433" s="4"/>
      <c r="H1433" s="4"/>
      <c r="I1433" s="4"/>
      <c r="J1433" s="4"/>
      <c r="K1433" s="4"/>
      <c r="L1433" s="4"/>
      <c r="M1433" s="4"/>
      <c r="N1433" s="4"/>
      <c r="O1433" s="4"/>
      <c r="P1433" s="4"/>
      <c r="Q1433" s="4"/>
      <c r="R1433" s="4"/>
      <c r="S1433" s="4"/>
      <c r="T1433" s="4"/>
      <c r="U1433" s="4"/>
      <c r="V1433" s="4"/>
      <c r="W1433" s="4"/>
      <c r="X1433" s="4"/>
      <c r="Y1433" s="4"/>
      <c r="Z1433" s="4"/>
      <c r="AA1433" s="4"/>
      <c r="AB1433" s="5"/>
    </row>
    <row r="1434" spans="1:28" x14ac:dyDescent="0.35">
      <c r="A1434" s="3"/>
      <c r="B1434" s="4"/>
      <c r="C1434" s="4"/>
      <c r="D1434" s="4"/>
      <c r="E1434" s="4"/>
      <c r="F1434" s="4"/>
      <c r="G1434" s="4"/>
      <c r="H1434" s="4"/>
      <c r="I1434" s="4"/>
      <c r="J1434" s="4"/>
      <c r="K1434" s="4"/>
      <c r="L1434" s="4"/>
      <c r="M1434" s="4"/>
      <c r="N1434" s="4"/>
      <c r="O1434" s="4"/>
      <c r="P1434" s="4"/>
      <c r="Q1434" s="4"/>
      <c r="R1434" s="4"/>
      <c r="S1434" s="4"/>
      <c r="T1434" s="4"/>
      <c r="U1434" s="4"/>
      <c r="V1434" s="4"/>
      <c r="W1434" s="4"/>
      <c r="X1434" s="4"/>
      <c r="Y1434" s="4"/>
      <c r="Z1434" s="4"/>
      <c r="AA1434" s="4"/>
      <c r="AB1434" s="5"/>
    </row>
    <row r="1435" spans="1:28" x14ac:dyDescent="0.35">
      <c r="A1435" s="3"/>
      <c r="B1435" s="4"/>
      <c r="C1435" s="4"/>
      <c r="D1435" s="4"/>
      <c r="E1435" s="4"/>
      <c r="F1435" s="4"/>
      <c r="G1435" s="4"/>
      <c r="H1435" s="4"/>
      <c r="I1435" s="4"/>
      <c r="J1435" s="4"/>
      <c r="K1435" s="4"/>
      <c r="L1435" s="4"/>
      <c r="M1435" s="4"/>
      <c r="N1435" s="4"/>
      <c r="O1435" s="4"/>
      <c r="P1435" s="4"/>
      <c r="Q1435" s="4"/>
      <c r="R1435" s="4"/>
      <c r="S1435" s="4"/>
      <c r="T1435" s="4"/>
      <c r="U1435" s="4"/>
      <c r="V1435" s="4"/>
      <c r="W1435" s="4"/>
      <c r="X1435" s="4"/>
      <c r="Y1435" s="4"/>
      <c r="Z1435" s="4"/>
      <c r="AA1435" s="4"/>
      <c r="AB1435" s="5"/>
    </row>
    <row r="1436" spans="1:28" x14ac:dyDescent="0.35">
      <c r="A1436" s="3"/>
      <c r="B1436" s="4"/>
      <c r="C1436" s="4"/>
      <c r="D1436" s="4"/>
      <c r="E1436" s="4"/>
      <c r="F1436" s="4"/>
      <c r="G1436" s="4"/>
      <c r="H1436" s="4"/>
      <c r="I1436" s="4"/>
      <c r="J1436" s="4"/>
      <c r="K1436" s="4"/>
      <c r="L1436" s="4"/>
      <c r="M1436" s="4"/>
      <c r="N1436" s="4"/>
      <c r="O1436" s="4"/>
      <c r="P1436" s="4"/>
      <c r="Q1436" s="4"/>
      <c r="R1436" s="4"/>
      <c r="S1436" s="4"/>
      <c r="T1436" s="4"/>
      <c r="U1436" s="4"/>
      <c r="V1436" s="4"/>
      <c r="W1436" s="4"/>
      <c r="X1436" s="4"/>
      <c r="Y1436" s="4"/>
      <c r="Z1436" s="4"/>
      <c r="AA1436" s="4"/>
      <c r="AB1436" s="5"/>
    </row>
    <row r="1437" spans="1:28" x14ac:dyDescent="0.35">
      <c r="A1437" s="3"/>
      <c r="B1437" s="4"/>
      <c r="C1437" s="4"/>
      <c r="D1437" s="4"/>
      <c r="E1437" s="4"/>
      <c r="F1437" s="4"/>
      <c r="G1437" s="4"/>
      <c r="H1437" s="4"/>
      <c r="I1437" s="4"/>
      <c r="J1437" s="4"/>
      <c r="K1437" s="4"/>
      <c r="L1437" s="4"/>
      <c r="M1437" s="4"/>
      <c r="N1437" s="4"/>
      <c r="O1437" s="4"/>
      <c r="P1437" s="4"/>
      <c r="Q1437" s="4"/>
      <c r="R1437" s="4"/>
      <c r="S1437" s="4"/>
      <c r="T1437" s="4"/>
      <c r="U1437" s="4"/>
      <c r="V1437" s="4"/>
      <c r="W1437" s="4"/>
      <c r="X1437" s="4"/>
      <c r="Y1437" s="4"/>
      <c r="Z1437" s="4"/>
      <c r="AA1437" s="4"/>
      <c r="AB1437" s="5"/>
    </row>
    <row r="1438" spans="1:28" x14ac:dyDescent="0.35">
      <c r="A1438" s="3"/>
      <c r="B1438" s="4"/>
      <c r="C1438" s="4"/>
      <c r="D1438" s="4"/>
      <c r="E1438" s="4"/>
      <c r="F1438" s="4"/>
      <c r="G1438" s="4"/>
      <c r="H1438" s="4"/>
      <c r="I1438" s="4"/>
      <c r="J1438" s="4"/>
      <c r="K1438" s="4"/>
      <c r="L1438" s="4"/>
      <c r="M1438" s="4"/>
      <c r="N1438" s="4"/>
      <c r="O1438" s="4"/>
      <c r="P1438" s="4"/>
      <c r="Q1438" s="4"/>
      <c r="R1438" s="4"/>
      <c r="S1438" s="4"/>
      <c r="T1438" s="4"/>
      <c r="U1438" s="4"/>
      <c r="V1438" s="4"/>
      <c r="W1438" s="4"/>
      <c r="X1438" s="4"/>
      <c r="Y1438" s="4"/>
      <c r="Z1438" s="4"/>
      <c r="AA1438" s="4"/>
      <c r="AB1438" s="5"/>
    </row>
    <row r="1439" spans="1:28" x14ac:dyDescent="0.35">
      <c r="A1439" s="3"/>
      <c r="B1439" s="4"/>
      <c r="C1439" s="4"/>
      <c r="D1439" s="4"/>
      <c r="E1439" s="4"/>
      <c r="F1439" s="4"/>
      <c r="G1439" s="4"/>
      <c r="H1439" s="4"/>
      <c r="I1439" s="4"/>
      <c r="J1439" s="4"/>
      <c r="K1439" s="4"/>
      <c r="L1439" s="4"/>
      <c r="M1439" s="4"/>
      <c r="N1439" s="4"/>
      <c r="O1439" s="4"/>
      <c r="P1439" s="4"/>
      <c r="Q1439" s="4"/>
      <c r="R1439" s="4"/>
      <c r="S1439" s="4"/>
      <c r="T1439" s="4"/>
      <c r="U1439" s="4"/>
      <c r="V1439" s="4"/>
      <c r="W1439" s="4"/>
      <c r="X1439" s="4"/>
      <c r="Y1439" s="4"/>
      <c r="Z1439" s="4"/>
      <c r="AA1439" s="4"/>
      <c r="AB1439" s="5"/>
    </row>
    <row r="1440" spans="1:28" x14ac:dyDescent="0.35">
      <c r="A1440" s="3"/>
      <c r="B1440" s="4"/>
      <c r="C1440" s="4"/>
      <c r="D1440" s="4"/>
      <c r="E1440" s="4"/>
      <c r="F1440" s="4"/>
      <c r="G1440" s="4"/>
      <c r="H1440" s="4"/>
      <c r="I1440" s="4"/>
      <c r="J1440" s="4"/>
      <c r="K1440" s="4"/>
      <c r="L1440" s="4"/>
      <c r="M1440" s="4"/>
      <c r="N1440" s="4"/>
      <c r="O1440" s="4"/>
      <c r="P1440" s="4"/>
      <c r="Q1440" s="4"/>
      <c r="R1440" s="4"/>
      <c r="S1440" s="4"/>
      <c r="T1440" s="4"/>
      <c r="U1440" s="4"/>
      <c r="V1440" s="4"/>
      <c r="W1440" s="4"/>
      <c r="X1440" s="4"/>
      <c r="Y1440" s="4"/>
      <c r="Z1440" s="4"/>
      <c r="AA1440" s="4"/>
      <c r="AB1440" s="5"/>
    </row>
    <row r="1441" spans="1:28" x14ac:dyDescent="0.35">
      <c r="A1441" s="3"/>
      <c r="B1441" s="4"/>
      <c r="C1441" s="4"/>
      <c r="D1441" s="4"/>
      <c r="E1441" s="4"/>
      <c r="F1441" s="4"/>
      <c r="G1441" s="4"/>
      <c r="H1441" s="4"/>
      <c r="I1441" s="4"/>
      <c r="J1441" s="4"/>
      <c r="K1441" s="4"/>
      <c r="L1441" s="4"/>
      <c r="M1441" s="4"/>
      <c r="N1441" s="4"/>
      <c r="O1441" s="4"/>
      <c r="P1441" s="4"/>
      <c r="Q1441" s="4"/>
      <c r="R1441" s="4"/>
      <c r="S1441" s="4"/>
      <c r="T1441" s="4"/>
      <c r="U1441" s="4"/>
      <c r="V1441" s="4"/>
      <c r="W1441" s="4"/>
      <c r="X1441" s="4"/>
      <c r="Y1441" s="4"/>
      <c r="Z1441" s="4"/>
      <c r="AA1441" s="4"/>
      <c r="AB1441" s="5"/>
    </row>
    <row r="1442" spans="1:28" x14ac:dyDescent="0.35">
      <c r="A1442" s="3"/>
      <c r="B1442" s="4"/>
      <c r="C1442" s="4"/>
      <c r="D1442" s="4"/>
      <c r="E1442" s="4"/>
      <c r="F1442" s="4"/>
      <c r="G1442" s="4"/>
      <c r="H1442" s="4"/>
      <c r="I1442" s="4"/>
      <c r="J1442" s="4"/>
      <c r="K1442" s="4"/>
      <c r="L1442" s="4"/>
      <c r="M1442" s="4"/>
      <c r="N1442" s="4"/>
      <c r="O1442" s="4"/>
      <c r="P1442" s="4"/>
      <c r="Q1442" s="4"/>
      <c r="R1442" s="4"/>
      <c r="S1442" s="4"/>
      <c r="T1442" s="4"/>
      <c r="U1442" s="4"/>
      <c r="V1442" s="4"/>
      <c r="W1442" s="4"/>
      <c r="X1442" s="4"/>
      <c r="Y1442" s="4"/>
      <c r="Z1442" s="4"/>
      <c r="AA1442" s="4"/>
      <c r="AB1442" s="5"/>
    </row>
    <row r="1443" spans="1:28" x14ac:dyDescent="0.35">
      <c r="A1443" s="3"/>
      <c r="B1443" s="4"/>
      <c r="C1443" s="4"/>
      <c r="D1443" s="4"/>
      <c r="E1443" s="4"/>
      <c r="F1443" s="4"/>
      <c r="G1443" s="4"/>
      <c r="H1443" s="4"/>
      <c r="I1443" s="4"/>
      <c r="J1443" s="4"/>
      <c r="K1443" s="4"/>
      <c r="L1443" s="4"/>
      <c r="M1443" s="4"/>
      <c r="N1443" s="4"/>
      <c r="O1443" s="4"/>
      <c r="P1443" s="4"/>
      <c r="Q1443" s="4"/>
      <c r="R1443" s="4"/>
      <c r="S1443" s="4"/>
      <c r="T1443" s="4"/>
      <c r="U1443" s="4"/>
      <c r="V1443" s="4"/>
      <c r="W1443" s="4"/>
      <c r="X1443" s="4"/>
      <c r="Y1443" s="4"/>
      <c r="Z1443" s="4"/>
      <c r="AA1443" s="4"/>
      <c r="AB1443" s="5"/>
    </row>
    <row r="1444" spans="1:28" x14ac:dyDescent="0.35">
      <c r="A1444" s="3"/>
      <c r="B1444" s="4"/>
      <c r="C1444" s="4"/>
      <c r="D1444" s="4"/>
      <c r="E1444" s="4"/>
      <c r="F1444" s="4"/>
      <c r="G1444" s="4"/>
      <c r="H1444" s="4"/>
      <c r="I1444" s="4"/>
      <c r="J1444" s="4"/>
      <c r="K1444" s="4"/>
      <c r="L1444" s="4"/>
      <c r="M1444" s="4"/>
      <c r="N1444" s="4"/>
      <c r="O1444" s="4"/>
      <c r="P1444" s="4"/>
      <c r="Q1444" s="4"/>
      <c r="R1444" s="4"/>
      <c r="S1444" s="4"/>
      <c r="T1444" s="4"/>
      <c r="U1444" s="4"/>
      <c r="V1444" s="4"/>
      <c r="W1444" s="4"/>
      <c r="X1444" s="4"/>
      <c r="Y1444" s="4"/>
      <c r="Z1444" s="4"/>
      <c r="AA1444" s="4"/>
      <c r="AB1444" s="5"/>
    </row>
    <row r="1445" spans="1:28" x14ac:dyDescent="0.35">
      <c r="A1445" s="3"/>
      <c r="B1445" s="4"/>
      <c r="C1445" s="4"/>
      <c r="D1445" s="4"/>
      <c r="E1445" s="4"/>
      <c r="F1445" s="4"/>
      <c r="G1445" s="4"/>
      <c r="H1445" s="4"/>
      <c r="I1445" s="4"/>
      <c r="J1445" s="4"/>
      <c r="K1445" s="4"/>
      <c r="L1445" s="4"/>
      <c r="M1445" s="4"/>
      <c r="N1445" s="4"/>
      <c r="O1445" s="4"/>
      <c r="P1445" s="4"/>
      <c r="Q1445" s="4"/>
      <c r="R1445" s="4"/>
      <c r="S1445" s="4"/>
      <c r="T1445" s="4"/>
      <c r="U1445" s="4"/>
      <c r="V1445" s="4"/>
      <c r="W1445" s="4"/>
      <c r="X1445" s="4"/>
      <c r="Y1445" s="4"/>
      <c r="Z1445" s="4"/>
      <c r="AA1445" s="4"/>
      <c r="AB1445" s="5"/>
    </row>
    <row r="1446" spans="1:28" x14ac:dyDescent="0.35">
      <c r="A1446" s="3"/>
      <c r="B1446" s="4"/>
      <c r="C1446" s="4"/>
      <c r="D1446" s="4"/>
      <c r="E1446" s="4"/>
      <c r="F1446" s="4"/>
      <c r="G1446" s="4"/>
      <c r="H1446" s="4"/>
      <c r="I1446" s="4"/>
      <c r="J1446" s="4"/>
      <c r="K1446" s="4"/>
      <c r="L1446" s="4"/>
      <c r="M1446" s="4"/>
      <c r="N1446" s="4"/>
      <c r="O1446" s="4"/>
      <c r="P1446" s="4"/>
      <c r="Q1446" s="4"/>
      <c r="R1446" s="4"/>
      <c r="S1446" s="4"/>
      <c r="T1446" s="4"/>
      <c r="U1446" s="4"/>
      <c r="V1446" s="4"/>
      <c r="W1446" s="4"/>
      <c r="X1446" s="4"/>
      <c r="Y1446" s="4"/>
      <c r="Z1446" s="4"/>
      <c r="AA1446" s="4"/>
      <c r="AB1446" s="5"/>
    </row>
    <row r="1447" spans="1:28" x14ac:dyDescent="0.35">
      <c r="A1447" s="3"/>
      <c r="B1447" s="4"/>
      <c r="C1447" s="4"/>
      <c r="D1447" s="4"/>
      <c r="E1447" s="4"/>
      <c r="F1447" s="4"/>
      <c r="G1447" s="4"/>
      <c r="H1447" s="4"/>
      <c r="I1447" s="4"/>
      <c r="J1447" s="4"/>
      <c r="K1447" s="4"/>
      <c r="L1447" s="4"/>
      <c r="M1447" s="4"/>
      <c r="N1447" s="4"/>
      <c r="O1447" s="4"/>
      <c r="P1447" s="4"/>
      <c r="Q1447" s="4"/>
      <c r="R1447" s="4"/>
      <c r="S1447" s="4"/>
      <c r="T1447" s="4"/>
      <c r="U1447" s="4"/>
      <c r="V1447" s="4"/>
      <c r="W1447" s="4"/>
      <c r="X1447" s="4"/>
      <c r="Y1447" s="4"/>
      <c r="Z1447" s="4"/>
      <c r="AA1447" s="4"/>
      <c r="AB1447" s="5"/>
    </row>
    <row r="1448" spans="1:28" x14ac:dyDescent="0.35">
      <c r="A1448" s="3"/>
      <c r="B1448" s="4"/>
      <c r="C1448" s="4"/>
      <c r="D1448" s="4"/>
      <c r="E1448" s="4"/>
      <c r="F1448" s="4"/>
      <c r="G1448" s="4"/>
      <c r="H1448" s="4"/>
      <c r="I1448" s="4"/>
      <c r="J1448" s="4"/>
      <c r="K1448" s="4"/>
      <c r="L1448" s="4"/>
      <c r="M1448" s="4"/>
      <c r="N1448" s="4"/>
      <c r="O1448" s="4"/>
      <c r="P1448" s="4"/>
      <c r="Q1448" s="4"/>
      <c r="R1448" s="4"/>
      <c r="S1448" s="4"/>
      <c r="T1448" s="4"/>
      <c r="U1448" s="4"/>
      <c r="V1448" s="4"/>
      <c r="W1448" s="4"/>
      <c r="X1448" s="4"/>
      <c r="Y1448" s="4"/>
      <c r="Z1448" s="4"/>
      <c r="AA1448" s="4"/>
      <c r="AB1448" s="5"/>
    </row>
    <row r="1449" spans="1:28" x14ac:dyDescent="0.35">
      <c r="A1449" s="3"/>
      <c r="B1449" s="4"/>
      <c r="C1449" s="4"/>
      <c r="D1449" s="4"/>
      <c r="E1449" s="4"/>
      <c r="F1449" s="4"/>
      <c r="G1449" s="4"/>
      <c r="H1449" s="4"/>
      <c r="I1449" s="4"/>
      <c r="J1449" s="4"/>
      <c r="K1449" s="4"/>
      <c r="L1449" s="4"/>
      <c r="M1449" s="4"/>
      <c r="N1449" s="4"/>
      <c r="O1449" s="4"/>
      <c r="P1449" s="4"/>
      <c r="Q1449" s="4"/>
      <c r="R1449" s="4"/>
      <c r="S1449" s="4"/>
      <c r="T1449" s="4"/>
      <c r="U1449" s="4"/>
      <c r="V1449" s="4"/>
      <c r="W1449" s="4"/>
      <c r="X1449" s="4"/>
      <c r="Y1449" s="4"/>
      <c r="Z1449" s="4"/>
      <c r="AA1449" s="4"/>
      <c r="AB1449" s="5"/>
    </row>
    <row r="1450" spans="1:28" x14ac:dyDescent="0.35">
      <c r="A1450" s="3"/>
      <c r="B1450" s="4"/>
      <c r="C1450" s="4"/>
      <c r="D1450" s="4"/>
      <c r="E1450" s="4"/>
      <c r="F1450" s="4"/>
      <c r="G1450" s="4"/>
      <c r="H1450" s="4"/>
      <c r="I1450" s="4"/>
      <c r="J1450" s="4"/>
      <c r="K1450" s="4"/>
      <c r="L1450" s="4"/>
      <c r="M1450" s="4"/>
      <c r="N1450" s="4"/>
      <c r="O1450" s="4"/>
      <c r="P1450" s="4"/>
      <c r="Q1450" s="4"/>
      <c r="R1450" s="4"/>
      <c r="S1450" s="4"/>
      <c r="T1450" s="4"/>
      <c r="U1450" s="4"/>
      <c r="V1450" s="4"/>
      <c r="W1450" s="4"/>
      <c r="X1450" s="4"/>
      <c r="Y1450" s="4"/>
      <c r="Z1450" s="4"/>
      <c r="AA1450" s="4"/>
      <c r="AB1450" s="5"/>
    </row>
    <row r="1451" spans="1:28" x14ac:dyDescent="0.35">
      <c r="A1451" s="3"/>
      <c r="B1451" s="4"/>
      <c r="C1451" s="4"/>
      <c r="D1451" s="4"/>
      <c r="E1451" s="4"/>
      <c r="F1451" s="4"/>
      <c r="G1451" s="4"/>
      <c r="H1451" s="4"/>
      <c r="I1451" s="4"/>
      <c r="J1451" s="4"/>
      <c r="K1451" s="4"/>
      <c r="L1451" s="4"/>
      <c r="M1451" s="4"/>
      <c r="N1451" s="4"/>
      <c r="O1451" s="4"/>
      <c r="P1451" s="4"/>
      <c r="Q1451" s="4"/>
      <c r="R1451" s="4"/>
      <c r="S1451" s="4"/>
      <c r="T1451" s="4"/>
      <c r="U1451" s="4"/>
      <c r="V1451" s="4"/>
      <c r="W1451" s="4"/>
      <c r="X1451" s="4"/>
      <c r="Y1451" s="4"/>
      <c r="Z1451" s="4"/>
      <c r="AA1451" s="4"/>
      <c r="AB1451" s="5"/>
    </row>
    <row r="1452" spans="1:28" x14ac:dyDescent="0.35">
      <c r="A1452" s="3"/>
      <c r="B1452" s="4"/>
      <c r="C1452" s="4"/>
      <c r="D1452" s="4"/>
      <c r="E1452" s="4"/>
      <c r="F1452" s="4"/>
      <c r="G1452" s="4"/>
      <c r="H1452" s="4"/>
      <c r="I1452" s="4"/>
      <c r="J1452" s="4"/>
      <c r="K1452" s="4"/>
      <c r="L1452" s="4"/>
      <c r="M1452" s="4"/>
      <c r="N1452" s="4"/>
      <c r="O1452" s="4"/>
      <c r="P1452" s="4"/>
      <c r="Q1452" s="4"/>
      <c r="R1452" s="4"/>
      <c r="S1452" s="4"/>
      <c r="T1452" s="4"/>
      <c r="U1452" s="4"/>
      <c r="V1452" s="4"/>
      <c r="W1452" s="4"/>
      <c r="X1452" s="4"/>
      <c r="Y1452" s="4"/>
      <c r="Z1452" s="4"/>
      <c r="AA1452" s="4"/>
      <c r="AB1452" s="5"/>
    </row>
    <row r="1453" spans="1:28" x14ac:dyDescent="0.35">
      <c r="A1453" s="3"/>
      <c r="B1453" s="4"/>
      <c r="C1453" s="4"/>
      <c r="D1453" s="4"/>
      <c r="E1453" s="4"/>
      <c r="F1453" s="4"/>
      <c r="G1453" s="4"/>
      <c r="H1453" s="4"/>
      <c r="I1453" s="4"/>
      <c r="J1453" s="4"/>
      <c r="K1453" s="4"/>
      <c r="L1453" s="4"/>
      <c r="M1453" s="4"/>
      <c r="N1453" s="4"/>
      <c r="O1453" s="4"/>
      <c r="P1453" s="4"/>
      <c r="Q1453" s="4"/>
      <c r="R1453" s="4"/>
      <c r="S1453" s="4"/>
      <c r="T1453" s="4"/>
      <c r="U1453" s="4"/>
      <c r="V1453" s="4"/>
      <c r="W1453" s="4"/>
      <c r="X1453" s="4"/>
      <c r="Y1453" s="4"/>
      <c r="Z1453" s="4"/>
      <c r="AA1453" s="4"/>
      <c r="AB1453" s="5"/>
    </row>
    <row r="1454" spans="1:28" x14ac:dyDescent="0.35">
      <c r="A1454" s="3"/>
      <c r="B1454" s="4"/>
      <c r="C1454" s="4"/>
      <c r="D1454" s="4"/>
      <c r="E1454" s="4"/>
      <c r="F1454" s="4"/>
      <c r="G1454" s="4"/>
      <c r="H1454" s="4"/>
      <c r="I1454" s="4"/>
      <c r="J1454" s="4"/>
      <c r="K1454" s="4"/>
      <c r="L1454" s="4"/>
      <c r="M1454" s="4"/>
      <c r="N1454" s="4"/>
      <c r="O1454" s="4"/>
      <c r="P1454" s="4"/>
      <c r="Q1454" s="4"/>
      <c r="R1454" s="4"/>
      <c r="S1454" s="4"/>
      <c r="T1454" s="4"/>
      <c r="U1454" s="4"/>
      <c r="V1454" s="4"/>
      <c r="W1454" s="4"/>
      <c r="X1454" s="4"/>
      <c r="Y1454" s="4"/>
      <c r="Z1454" s="4"/>
      <c r="AA1454" s="4"/>
      <c r="AB1454" s="5"/>
    </row>
    <row r="1455" spans="1:28" x14ac:dyDescent="0.35">
      <c r="A1455" s="3"/>
      <c r="B1455" s="4"/>
      <c r="C1455" s="4"/>
      <c r="D1455" s="4"/>
      <c r="E1455" s="4"/>
      <c r="F1455" s="4"/>
      <c r="G1455" s="4"/>
      <c r="H1455" s="4"/>
      <c r="I1455" s="4"/>
      <c r="J1455" s="4"/>
      <c r="K1455" s="4"/>
      <c r="L1455" s="4"/>
      <c r="M1455" s="4"/>
      <c r="N1455" s="4"/>
      <c r="O1455" s="4"/>
      <c r="P1455" s="4"/>
      <c r="Q1455" s="4"/>
      <c r="R1455" s="4"/>
      <c r="S1455" s="4"/>
      <c r="T1455" s="4"/>
      <c r="U1455" s="4"/>
      <c r="V1455" s="4"/>
      <c r="W1455" s="4"/>
      <c r="X1455" s="4"/>
      <c r="Y1455" s="4"/>
      <c r="Z1455" s="4"/>
      <c r="AA1455" s="4"/>
      <c r="AB1455" s="5"/>
    </row>
    <row r="1456" spans="1:28" x14ac:dyDescent="0.35">
      <c r="A1456" s="3"/>
      <c r="B1456" s="4"/>
      <c r="C1456" s="4"/>
      <c r="D1456" s="4"/>
      <c r="E1456" s="4"/>
      <c r="F1456" s="4"/>
      <c r="G1456" s="4"/>
      <c r="H1456" s="4"/>
      <c r="I1456" s="4"/>
      <c r="J1456" s="4"/>
      <c r="K1456" s="4"/>
      <c r="L1456" s="4"/>
      <c r="M1456" s="4"/>
      <c r="N1456" s="4"/>
      <c r="O1456" s="4"/>
      <c r="P1456" s="4"/>
      <c r="Q1456" s="4"/>
      <c r="R1456" s="4"/>
      <c r="S1456" s="4"/>
      <c r="T1456" s="4"/>
      <c r="U1456" s="4"/>
      <c r="V1456" s="4"/>
      <c r="W1456" s="4"/>
      <c r="X1456" s="4"/>
      <c r="Y1456" s="4"/>
      <c r="Z1456" s="4"/>
      <c r="AA1456" s="4"/>
      <c r="AB1456" s="5"/>
    </row>
    <row r="1457" spans="1:28" x14ac:dyDescent="0.35">
      <c r="A1457" s="3"/>
      <c r="B1457" s="4"/>
      <c r="C1457" s="4"/>
      <c r="D1457" s="4"/>
      <c r="E1457" s="4"/>
      <c r="F1457" s="4"/>
      <c r="G1457" s="4"/>
      <c r="H1457" s="4"/>
      <c r="I1457" s="4"/>
      <c r="J1457" s="4"/>
      <c r="K1457" s="4"/>
      <c r="L1457" s="4"/>
      <c r="M1457" s="4"/>
      <c r="N1457" s="4"/>
      <c r="O1457" s="4"/>
      <c r="P1457" s="4"/>
      <c r="Q1457" s="4"/>
      <c r="R1457" s="4"/>
      <c r="S1457" s="4"/>
      <c r="T1457" s="4"/>
      <c r="U1457" s="4"/>
      <c r="V1457" s="4"/>
      <c r="W1457" s="4"/>
      <c r="X1457" s="4"/>
      <c r="Y1457" s="4"/>
      <c r="Z1457" s="4"/>
      <c r="AA1457" s="4"/>
      <c r="AB1457" s="5"/>
    </row>
    <row r="1458" spans="1:28" x14ac:dyDescent="0.35">
      <c r="A1458" s="3"/>
      <c r="B1458" s="4"/>
      <c r="C1458" s="4"/>
      <c r="D1458" s="4"/>
      <c r="E1458" s="4"/>
      <c r="F1458" s="4"/>
      <c r="G1458" s="4"/>
      <c r="H1458" s="4"/>
      <c r="I1458" s="4"/>
      <c r="J1458" s="4"/>
      <c r="K1458" s="4"/>
      <c r="L1458" s="4"/>
      <c r="M1458" s="4"/>
      <c r="N1458" s="4"/>
      <c r="O1458" s="4"/>
      <c r="P1458" s="4"/>
      <c r="Q1458" s="4"/>
      <c r="R1458" s="4"/>
      <c r="S1458" s="4"/>
      <c r="T1458" s="4"/>
      <c r="U1458" s="4"/>
      <c r="V1458" s="4"/>
      <c r="W1458" s="4"/>
      <c r="X1458" s="4"/>
      <c r="Y1458" s="4"/>
      <c r="Z1458" s="4"/>
      <c r="AA1458" s="4"/>
      <c r="AB1458" s="5"/>
    </row>
    <row r="1459" spans="1:28" x14ac:dyDescent="0.35">
      <c r="A1459" s="3"/>
      <c r="B1459" s="4"/>
      <c r="C1459" s="4"/>
      <c r="D1459" s="4"/>
      <c r="E1459" s="4"/>
      <c r="F1459" s="4"/>
      <c r="G1459" s="4"/>
      <c r="H1459" s="4"/>
      <c r="I1459" s="4"/>
      <c r="J1459" s="4"/>
      <c r="K1459" s="4"/>
      <c r="L1459" s="4"/>
      <c r="M1459" s="4"/>
      <c r="N1459" s="4"/>
      <c r="O1459" s="4"/>
      <c r="P1459" s="4"/>
      <c r="Q1459" s="4"/>
      <c r="R1459" s="4"/>
      <c r="S1459" s="4"/>
      <c r="T1459" s="4"/>
      <c r="U1459" s="4"/>
      <c r="V1459" s="4"/>
      <c r="W1459" s="4"/>
      <c r="X1459" s="4"/>
      <c r="Y1459" s="4"/>
      <c r="Z1459" s="4"/>
      <c r="AA1459" s="4"/>
      <c r="AB1459" s="5"/>
    </row>
    <row r="1460" spans="1:28" x14ac:dyDescent="0.35">
      <c r="A1460" s="3"/>
      <c r="B1460" s="4"/>
      <c r="C1460" s="4"/>
      <c r="D1460" s="4"/>
      <c r="E1460" s="4"/>
      <c r="F1460" s="4"/>
      <c r="G1460" s="4"/>
      <c r="H1460" s="4"/>
      <c r="I1460" s="4"/>
      <c r="J1460" s="4"/>
      <c r="K1460" s="4"/>
      <c r="L1460" s="4"/>
      <c r="M1460" s="4"/>
      <c r="N1460" s="4"/>
      <c r="O1460" s="4"/>
      <c r="P1460" s="4"/>
      <c r="Q1460" s="4"/>
      <c r="R1460" s="4"/>
      <c r="S1460" s="4"/>
      <c r="T1460" s="4"/>
      <c r="U1460" s="4"/>
      <c r="V1460" s="4"/>
      <c r="W1460" s="4"/>
      <c r="X1460" s="4"/>
      <c r="Y1460" s="4"/>
      <c r="Z1460" s="4"/>
      <c r="AA1460" s="4"/>
      <c r="AB1460" s="5"/>
    </row>
    <row r="1461" spans="1:28" x14ac:dyDescent="0.35">
      <c r="A1461" s="3"/>
      <c r="B1461" s="4"/>
      <c r="C1461" s="4"/>
      <c r="D1461" s="4"/>
      <c r="E1461" s="4"/>
      <c r="F1461" s="4"/>
      <c r="G1461" s="4"/>
      <c r="H1461" s="4"/>
      <c r="I1461" s="4"/>
      <c r="J1461" s="4"/>
      <c r="K1461" s="4"/>
      <c r="L1461" s="4"/>
      <c r="M1461" s="4"/>
      <c r="N1461" s="4"/>
      <c r="O1461" s="4"/>
      <c r="P1461" s="4"/>
      <c r="Q1461" s="4"/>
      <c r="R1461" s="4"/>
      <c r="S1461" s="4"/>
      <c r="T1461" s="4"/>
      <c r="U1461" s="4"/>
      <c r="V1461" s="4"/>
      <c r="W1461" s="4"/>
      <c r="X1461" s="4"/>
      <c r="Y1461" s="4"/>
      <c r="Z1461" s="4"/>
      <c r="AA1461" s="4"/>
      <c r="AB1461" s="5"/>
    </row>
    <row r="1462" spans="1:28" x14ac:dyDescent="0.35">
      <c r="A1462" s="3"/>
      <c r="B1462" s="4"/>
      <c r="C1462" s="4"/>
      <c r="D1462" s="4"/>
      <c r="E1462" s="4"/>
      <c r="F1462" s="4"/>
      <c r="G1462" s="4"/>
      <c r="H1462" s="4"/>
      <c r="I1462" s="4"/>
      <c r="J1462" s="4"/>
      <c r="K1462" s="4"/>
      <c r="L1462" s="4"/>
      <c r="M1462" s="4"/>
      <c r="N1462" s="4"/>
      <c r="O1462" s="4"/>
      <c r="P1462" s="4"/>
      <c r="Q1462" s="4"/>
      <c r="R1462" s="4"/>
      <c r="S1462" s="4"/>
      <c r="T1462" s="4"/>
      <c r="U1462" s="4"/>
      <c r="V1462" s="4"/>
      <c r="W1462" s="4"/>
      <c r="X1462" s="4"/>
      <c r="Y1462" s="4"/>
      <c r="Z1462" s="4"/>
      <c r="AA1462" s="4"/>
      <c r="AB1462" s="5"/>
    </row>
    <row r="1463" spans="1:28" x14ac:dyDescent="0.35">
      <c r="A1463" s="3"/>
      <c r="B1463" s="4"/>
      <c r="C1463" s="4"/>
      <c r="D1463" s="4"/>
      <c r="E1463" s="4"/>
      <c r="F1463" s="4"/>
      <c r="G1463" s="4"/>
      <c r="H1463" s="4"/>
      <c r="I1463" s="4"/>
      <c r="J1463" s="4"/>
      <c r="K1463" s="4"/>
      <c r="L1463" s="4"/>
      <c r="M1463" s="4"/>
      <c r="N1463" s="4"/>
      <c r="O1463" s="4"/>
      <c r="P1463" s="4"/>
      <c r="Q1463" s="4"/>
      <c r="R1463" s="4"/>
      <c r="S1463" s="4"/>
      <c r="T1463" s="4"/>
      <c r="U1463" s="4"/>
      <c r="V1463" s="4"/>
      <c r="W1463" s="4"/>
      <c r="X1463" s="4"/>
      <c r="Y1463" s="4"/>
      <c r="Z1463" s="4"/>
      <c r="AA1463" s="4"/>
      <c r="AB1463" s="5"/>
    </row>
    <row r="1464" spans="1:28" x14ac:dyDescent="0.35">
      <c r="A1464" s="3"/>
      <c r="B1464" s="4"/>
      <c r="C1464" s="4"/>
      <c r="D1464" s="4"/>
      <c r="E1464" s="4"/>
      <c r="F1464" s="4"/>
      <c r="G1464" s="4"/>
      <c r="H1464" s="4"/>
      <c r="I1464" s="4"/>
      <c r="J1464" s="4"/>
      <c r="K1464" s="4"/>
      <c r="L1464" s="4"/>
      <c r="M1464" s="4"/>
      <c r="N1464" s="4"/>
      <c r="O1464" s="4"/>
      <c r="P1464" s="4"/>
      <c r="Q1464" s="4"/>
      <c r="R1464" s="4"/>
      <c r="S1464" s="4"/>
      <c r="T1464" s="4"/>
      <c r="U1464" s="4"/>
      <c r="V1464" s="4"/>
      <c r="W1464" s="4"/>
      <c r="X1464" s="4"/>
      <c r="Y1464" s="4"/>
      <c r="Z1464" s="4"/>
      <c r="AA1464" s="4"/>
      <c r="AB1464" s="5"/>
    </row>
    <row r="1465" spans="1:28" x14ac:dyDescent="0.35">
      <c r="A1465" s="3"/>
      <c r="B1465" s="4"/>
      <c r="C1465" s="4"/>
      <c r="D1465" s="4"/>
      <c r="E1465" s="4"/>
      <c r="F1465" s="4"/>
      <c r="G1465" s="4"/>
      <c r="H1465" s="4"/>
      <c r="I1465" s="4"/>
      <c r="J1465" s="4"/>
      <c r="K1465" s="4"/>
      <c r="L1465" s="4"/>
      <c r="M1465" s="4"/>
      <c r="N1465" s="4"/>
      <c r="O1465" s="4"/>
      <c r="P1465" s="4"/>
      <c r="Q1465" s="4"/>
      <c r="R1465" s="4"/>
      <c r="S1465" s="4"/>
      <c r="T1465" s="4"/>
      <c r="U1465" s="4"/>
      <c r="V1465" s="4"/>
      <c r="W1465" s="4"/>
      <c r="X1465" s="4"/>
      <c r="Y1465" s="4"/>
      <c r="Z1465" s="4"/>
      <c r="AA1465" s="4"/>
      <c r="AB1465" s="5"/>
    </row>
    <row r="1466" spans="1:28" x14ac:dyDescent="0.35">
      <c r="A1466" s="3"/>
      <c r="B1466" s="4"/>
      <c r="C1466" s="4"/>
      <c r="D1466" s="4"/>
      <c r="E1466" s="4"/>
      <c r="F1466" s="4"/>
      <c r="G1466" s="4"/>
      <c r="H1466" s="4"/>
      <c r="I1466" s="4"/>
      <c r="J1466" s="4"/>
      <c r="K1466" s="4"/>
      <c r="L1466" s="4"/>
      <c r="M1466" s="4"/>
      <c r="N1466" s="4"/>
      <c r="O1466" s="4"/>
      <c r="P1466" s="4"/>
      <c r="Q1466" s="4"/>
      <c r="R1466" s="4"/>
      <c r="S1466" s="4"/>
      <c r="T1466" s="4"/>
      <c r="U1466" s="4"/>
      <c r="V1466" s="4"/>
      <c r="W1466" s="4"/>
      <c r="X1466" s="4"/>
      <c r="Y1466" s="4"/>
      <c r="Z1466" s="4"/>
      <c r="AA1466" s="4"/>
      <c r="AB1466" s="5"/>
    </row>
    <row r="1467" spans="1:28" x14ac:dyDescent="0.35">
      <c r="A1467" s="3"/>
      <c r="B1467" s="4"/>
      <c r="C1467" s="4"/>
      <c r="D1467" s="4"/>
      <c r="E1467" s="4"/>
      <c r="F1467" s="4"/>
      <c r="G1467" s="4"/>
      <c r="H1467" s="4"/>
      <c r="I1467" s="4"/>
      <c r="J1467" s="4"/>
      <c r="K1467" s="4"/>
      <c r="L1467" s="4"/>
      <c r="M1467" s="4"/>
      <c r="N1467" s="4"/>
      <c r="O1467" s="4"/>
      <c r="P1467" s="4"/>
      <c r="Q1467" s="4"/>
      <c r="R1467" s="4"/>
      <c r="S1467" s="4"/>
      <c r="T1467" s="4"/>
      <c r="U1467" s="4"/>
      <c r="V1467" s="4"/>
      <c r="W1467" s="4"/>
      <c r="X1467" s="4"/>
      <c r="Y1467" s="4"/>
      <c r="Z1467" s="4"/>
      <c r="AA1467" s="4"/>
      <c r="AB1467" s="5"/>
    </row>
    <row r="1468" spans="1:28" x14ac:dyDescent="0.35">
      <c r="A1468" s="3"/>
      <c r="B1468" s="4"/>
      <c r="C1468" s="4"/>
      <c r="D1468" s="4"/>
      <c r="E1468" s="4"/>
      <c r="F1468" s="4"/>
      <c r="G1468" s="4"/>
      <c r="H1468" s="4"/>
      <c r="I1468" s="4"/>
      <c r="J1468" s="4"/>
      <c r="K1468" s="4"/>
      <c r="L1468" s="4"/>
      <c r="M1468" s="4"/>
      <c r="N1468" s="4"/>
      <c r="O1468" s="4"/>
      <c r="P1468" s="4"/>
      <c r="Q1468" s="4"/>
      <c r="R1468" s="4"/>
      <c r="S1468" s="4"/>
      <c r="T1468" s="4"/>
      <c r="U1468" s="4"/>
      <c r="V1468" s="4"/>
      <c r="W1468" s="4"/>
      <c r="X1468" s="4"/>
      <c r="Y1468" s="4"/>
      <c r="Z1468" s="4"/>
      <c r="AA1468" s="4"/>
      <c r="AB1468" s="5"/>
    </row>
    <row r="1469" spans="1:28" x14ac:dyDescent="0.35">
      <c r="A1469" s="3"/>
      <c r="B1469" s="4"/>
      <c r="C1469" s="4"/>
      <c r="D1469" s="4"/>
      <c r="E1469" s="4"/>
      <c r="F1469" s="4"/>
      <c r="G1469" s="4"/>
      <c r="H1469" s="4"/>
      <c r="I1469" s="4"/>
      <c r="J1469" s="4"/>
      <c r="K1469" s="4"/>
      <c r="L1469" s="4"/>
      <c r="M1469" s="4"/>
      <c r="N1469" s="4"/>
      <c r="O1469" s="4"/>
      <c r="P1469" s="4"/>
      <c r="Q1469" s="4"/>
      <c r="R1469" s="4"/>
      <c r="S1469" s="4"/>
      <c r="T1469" s="4"/>
      <c r="U1469" s="4"/>
      <c r="V1469" s="4"/>
      <c r="W1469" s="4"/>
      <c r="X1469" s="4"/>
      <c r="Y1469" s="4"/>
      <c r="Z1469" s="4"/>
      <c r="AA1469" s="4"/>
      <c r="AB1469" s="5"/>
    </row>
    <row r="1470" spans="1:28" x14ac:dyDescent="0.35">
      <c r="A1470" s="3"/>
      <c r="B1470" s="4"/>
      <c r="C1470" s="4"/>
      <c r="D1470" s="4"/>
      <c r="E1470" s="4"/>
      <c r="F1470" s="4"/>
      <c r="G1470" s="4"/>
      <c r="H1470" s="4"/>
      <c r="I1470" s="4"/>
      <c r="J1470" s="4"/>
      <c r="K1470" s="4"/>
      <c r="L1470" s="4"/>
      <c r="M1470" s="4"/>
      <c r="N1470" s="4"/>
      <c r="O1470" s="4"/>
      <c r="P1470" s="4"/>
      <c r="Q1470" s="4"/>
      <c r="R1470" s="4"/>
      <c r="S1470" s="4"/>
      <c r="T1470" s="4"/>
      <c r="U1470" s="4"/>
      <c r="V1470" s="4"/>
      <c r="W1470" s="4"/>
      <c r="X1470" s="4"/>
      <c r="Y1470" s="4"/>
      <c r="Z1470" s="4"/>
      <c r="AA1470" s="4"/>
      <c r="AB1470" s="5"/>
    </row>
    <row r="1471" spans="1:28" x14ac:dyDescent="0.35">
      <c r="A1471" s="3"/>
      <c r="B1471" s="4"/>
      <c r="C1471" s="4"/>
      <c r="D1471" s="4"/>
      <c r="E1471" s="4"/>
      <c r="F1471" s="4"/>
      <c r="G1471" s="4"/>
      <c r="H1471" s="4"/>
      <c r="I1471" s="4"/>
      <c r="J1471" s="4"/>
      <c r="K1471" s="4"/>
      <c r="L1471" s="4"/>
      <c r="M1471" s="4"/>
      <c r="N1471" s="4"/>
      <c r="O1471" s="4"/>
      <c r="P1471" s="4"/>
      <c r="Q1471" s="4"/>
      <c r="R1471" s="4"/>
      <c r="S1471" s="4"/>
      <c r="T1471" s="4"/>
      <c r="U1471" s="4"/>
      <c r="V1471" s="4"/>
      <c r="W1471" s="4"/>
      <c r="X1471" s="4"/>
      <c r="Y1471" s="4"/>
      <c r="Z1471" s="4"/>
      <c r="AA1471" s="4"/>
      <c r="AB1471" s="5"/>
    </row>
    <row r="1472" spans="1:28" x14ac:dyDescent="0.35">
      <c r="A1472" s="3"/>
      <c r="B1472" s="4"/>
      <c r="C1472" s="4"/>
      <c r="D1472" s="4"/>
      <c r="E1472" s="4"/>
      <c r="F1472" s="4"/>
      <c r="G1472" s="4"/>
      <c r="H1472" s="4"/>
      <c r="I1472" s="4"/>
      <c r="J1472" s="4"/>
      <c r="K1472" s="4"/>
      <c r="L1472" s="4"/>
      <c r="M1472" s="4"/>
      <c r="N1472" s="4"/>
      <c r="O1472" s="4"/>
      <c r="P1472" s="4"/>
      <c r="Q1472" s="4"/>
      <c r="R1472" s="4"/>
      <c r="S1472" s="4"/>
      <c r="T1472" s="4"/>
      <c r="U1472" s="4"/>
      <c r="V1472" s="4"/>
      <c r="W1472" s="4"/>
      <c r="X1472" s="4"/>
      <c r="Y1472" s="4"/>
      <c r="Z1472" s="4"/>
      <c r="AA1472" s="4"/>
      <c r="AB1472" s="5"/>
    </row>
    <row r="1473" spans="1:28" x14ac:dyDescent="0.35">
      <c r="A1473" s="3"/>
      <c r="B1473" s="4"/>
      <c r="C1473" s="4"/>
      <c r="D1473" s="4"/>
      <c r="E1473" s="4"/>
      <c r="F1473" s="4"/>
      <c r="G1473" s="4"/>
      <c r="H1473" s="4"/>
      <c r="I1473" s="4"/>
      <c r="J1473" s="4"/>
      <c r="K1473" s="4"/>
      <c r="L1473" s="4"/>
      <c r="M1473" s="4"/>
      <c r="N1473" s="4"/>
      <c r="O1473" s="4"/>
      <c r="P1473" s="4"/>
      <c r="Q1473" s="4"/>
      <c r="R1473" s="4"/>
      <c r="S1473" s="4"/>
      <c r="T1473" s="4"/>
      <c r="U1473" s="4"/>
      <c r="V1473" s="4"/>
      <c r="W1473" s="4"/>
      <c r="X1473" s="4"/>
      <c r="Y1473" s="4"/>
      <c r="Z1473" s="4"/>
      <c r="AA1473" s="4"/>
      <c r="AB1473" s="5"/>
    </row>
    <row r="1474" spans="1:28" x14ac:dyDescent="0.35">
      <c r="A1474" s="3"/>
      <c r="B1474" s="4"/>
      <c r="C1474" s="4"/>
      <c r="D1474" s="4"/>
      <c r="E1474" s="4"/>
      <c r="F1474" s="4"/>
      <c r="G1474" s="4"/>
      <c r="H1474" s="4"/>
      <c r="I1474" s="4"/>
      <c r="J1474" s="4"/>
      <c r="K1474" s="4"/>
      <c r="L1474" s="4"/>
      <c r="M1474" s="4"/>
      <c r="N1474" s="4"/>
      <c r="O1474" s="4"/>
      <c r="P1474" s="4"/>
      <c r="Q1474" s="4"/>
      <c r="R1474" s="4"/>
      <c r="S1474" s="4"/>
      <c r="T1474" s="4"/>
      <c r="U1474" s="4"/>
      <c r="V1474" s="4"/>
      <c r="W1474" s="4"/>
      <c r="X1474" s="4"/>
      <c r="Y1474" s="4"/>
      <c r="Z1474" s="4"/>
      <c r="AA1474" s="4"/>
      <c r="AB1474" s="5"/>
    </row>
    <row r="1475" spans="1:28" x14ac:dyDescent="0.35">
      <c r="A1475" s="3"/>
      <c r="B1475" s="4"/>
      <c r="C1475" s="4"/>
      <c r="D1475" s="4"/>
      <c r="E1475" s="4"/>
      <c r="F1475" s="4"/>
      <c r="G1475" s="4"/>
      <c r="H1475" s="4"/>
      <c r="I1475" s="4"/>
      <c r="J1475" s="4"/>
      <c r="K1475" s="4"/>
      <c r="L1475" s="4"/>
      <c r="M1475" s="4"/>
      <c r="N1475" s="4"/>
      <c r="O1475" s="4"/>
      <c r="P1475" s="4"/>
      <c r="Q1475" s="4"/>
      <c r="R1475" s="4"/>
      <c r="S1475" s="4"/>
      <c r="T1475" s="4"/>
      <c r="U1475" s="4"/>
      <c r="V1475" s="4"/>
      <c r="W1475" s="4"/>
      <c r="X1475" s="4"/>
      <c r="Y1475" s="4"/>
      <c r="Z1475" s="4"/>
      <c r="AA1475" s="4"/>
      <c r="AB1475" s="5"/>
    </row>
    <row r="1476" spans="1:28" x14ac:dyDescent="0.35">
      <c r="A1476" s="3"/>
      <c r="B1476" s="4"/>
      <c r="C1476" s="4"/>
      <c r="D1476" s="4"/>
      <c r="E1476" s="4"/>
      <c r="F1476" s="4"/>
      <c r="G1476" s="4"/>
      <c r="H1476" s="4"/>
      <c r="I1476" s="4"/>
      <c r="J1476" s="4"/>
      <c r="K1476" s="4"/>
      <c r="L1476" s="4"/>
      <c r="M1476" s="4"/>
      <c r="N1476" s="4"/>
      <c r="O1476" s="4"/>
      <c r="P1476" s="4"/>
      <c r="Q1476" s="4"/>
      <c r="R1476" s="4"/>
      <c r="S1476" s="4"/>
      <c r="T1476" s="4"/>
      <c r="U1476" s="4"/>
      <c r="V1476" s="4"/>
      <c r="W1476" s="4"/>
      <c r="X1476" s="4"/>
      <c r="Y1476" s="4"/>
      <c r="Z1476" s="4"/>
      <c r="AA1476" s="4"/>
      <c r="AB1476" s="5"/>
    </row>
    <row r="1477" spans="1:28" x14ac:dyDescent="0.35">
      <c r="A1477" s="3"/>
      <c r="B1477" s="4"/>
      <c r="C1477" s="4"/>
      <c r="D1477" s="4"/>
      <c r="E1477" s="4"/>
      <c r="F1477" s="4"/>
      <c r="G1477" s="4"/>
      <c r="H1477" s="4"/>
      <c r="I1477" s="4"/>
      <c r="J1477" s="4"/>
      <c r="K1477" s="4"/>
      <c r="L1477" s="4"/>
      <c r="M1477" s="4"/>
      <c r="N1477" s="4"/>
      <c r="O1477" s="4"/>
      <c r="P1477" s="4"/>
      <c r="Q1477" s="4"/>
      <c r="R1477" s="4"/>
      <c r="S1477" s="4"/>
      <c r="T1477" s="4"/>
      <c r="U1477" s="4"/>
      <c r="V1477" s="4"/>
      <c r="W1477" s="4"/>
      <c r="X1477" s="4"/>
      <c r="Y1477" s="4"/>
      <c r="Z1477" s="4"/>
      <c r="AA1477" s="4"/>
      <c r="AB1477" s="5"/>
    </row>
    <row r="1478" spans="1:28" x14ac:dyDescent="0.35">
      <c r="A1478" s="3"/>
      <c r="B1478" s="4"/>
      <c r="C1478" s="4"/>
      <c r="D1478" s="4"/>
      <c r="E1478" s="4"/>
      <c r="F1478" s="4"/>
      <c r="G1478" s="4"/>
      <c r="H1478" s="4"/>
      <c r="I1478" s="4"/>
      <c r="J1478" s="4"/>
      <c r="K1478" s="4"/>
      <c r="L1478" s="4"/>
      <c r="M1478" s="4"/>
      <c r="N1478" s="4"/>
      <c r="O1478" s="4"/>
      <c r="P1478" s="4"/>
      <c r="Q1478" s="4"/>
      <c r="R1478" s="4"/>
      <c r="S1478" s="4"/>
      <c r="T1478" s="4"/>
      <c r="U1478" s="4"/>
      <c r="V1478" s="4"/>
      <c r="W1478" s="4"/>
      <c r="X1478" s="4"/>
      <c r="Y1478" s="4"/>
      <c r="Z1478" s="4"/>
      <c r="AA1478" s="4"/>
      <c r="AB1478" s="5"/>
    </row>
    <row r="1479" spans="1:28" x14ac:dyDescent="0.35">
      <c r="A1479" s="3"/>
      <c r="B1479" s="4"/>
      <c r="C1479" s="4"/>
      <c r="D1479" s="4"/>
      <c r="E1479" s="4"/>
      <c r="F1479" s="4"/>
      <c r="G1479" s="4"/>
      <c r="H1479" s="4"/>
      <c r="I1479" s="4"/>
      <c r="J1479" s="4"/>
      <c r="K1479" s="4"/>
      <c r="L1479" s="4"/>
      <c r="M1479" s="4"/>
      <c r="N1479" s="4"/>
      <c r="O1479" s="4"/>
      <c r="P1479" s="4"/>
      <c r="Q1479" s="4"/>
      <c r="R1479" s="4"/>
      <c r="S1479" s="4"/>
      <c r="T1479" s="4"/>
      <c r="U1479" s="4"/>
      <c r="V1479" s="4"/>
      <c r="W1479" s="4"/>
      <c r="X1479" s="4"/>
      <c r="Y1479" s="4"/>
      <c r="Z1479" s="4"/>
      <c r="AA1479" s="4"/>
      <c r="AB1479" s="5"/>
    </row>
    <row r="1480" spans="1:28" x14ac:dyDescent="0.35">
      <c r="A1480" s="3"/>
      <c r="B1480" s="4"/>
      <c r="C1480" s="4"/>
      <c r="D1480" s="4"/>
      <c r="E1480" s="4"/>
      <c r="F1480" s="4"/>
      <c r="G1480" s="4"/>
      <c r="H1480" s="4"/>
      <c r="I1480" s="4"/>
      <c r="J1480" s="4"/>
      <c r="K1480" s="4"/>
      <c r="L1480" s="4"/>
      <c r="M1480" s="4"/>
      <c r="N1480" s="4"/>
      <c r="O1480" s="4"/>
      <c r="P1480" s="4"/>
      <c r="Q1480" s="4"/>
      <c r="R1480" s="4"/>
      <c r="S1480" s="4"/>
      <c r="T1480" s="4"/>
      <c r="U1480" s="4"/>
      <c r="V1480" s="4"/>
      <c r="W1480" s="4"/>
      <c r="X1480" s="4"/>
      <c r="Y1480" s="4"/>
      <c r="Z1480" s="4"/>
      <c r="AA1480" s="4"/>
      <c r="AB1480" s="5"/>
    </row>
    <row r="1481" spans="1:28" x14ac:dyDescent="0.35">
      <c r="A1481" s="3"/>
      <c r="B1481" s="4"/>
      <c r="C1481" s="4"/>
      <c r="D1481" s="4"/>
      <c r="E1481" s="4"/>
      <c r="F1481" s="4"/>
      <c r="G1481" s="4"/>
      <c r="H1481" s="4"/>
      <c r="I1481" s="4"/>
      <c r="J1481" s="4"/>
      <c r="K1481" s="4"/>
      <c r="L1481" s="4"/>
      <c r="M1481" s="4"/>
      <c r="N1481" s="4"/>
      <c r="O1481" s="4"/>
      <c r="P1481" s="4"/>
      <c r="Q1481" s="4"/>
      <c r="R1481" s="4"/>
      <c r="S1481" s="4"/>
      <c r="T1481" s="4"/>
      <c r="U1481" s="4"/>
      <c r="V1481" s="4"/>
      <c r="W1481" s="4"/>
      <c r="X1481" s="4"/>
      <c r="Y1481" s="4"/>
      <c r="Z1481" s="4"/>
      <c r="AA1481" s="4"/>
      <c r="AB1481" s="5"/>
    </row>
    <row r="1482" spans="1:28" x14ac:dyDescent="0.35">
      <c r="A1482" s="3"/>
      <c r="B1482" s="4"/>
      <c r="C1482" s="4"/>
      <c r="D1482" s="4"/>
      <c r="E1482" s="4"/>
      <c r="F1482" s="4"/>
      <c r="G1482" s="4"/>
      <c r="H1482" s="4"/>
      <c r="I1482" s="4"/>
      <c r="J1482" s="4"/>
      <c r="K1482" s="4"/>
      <c r="L1482" s="4"/>
      <c r="M1482" s="4"/>
      <c r="N1482" s="4"/>
      <c r="O1482" s="4"/>
      <c r="P1482" s="4"/>
      <c r="Q1482" s="4"/>
      <c r="R1482" s="4"/>
      <c r="S1482" s="4"/>
      <c r="T1482" s="4"/>
      <c r="U1482" s="4"/>
      <c r="V1482" s="4"/>
      <c r="W1482" s="4"/>
      <c r="X1482" s="4"/>
      <c r="Y1482" s="4"/>
      <c r="Z1482" s="4"/>
      <c r="AA1482" s="4"/>
      <c r="AB1482" s="5"/>
    </row>
    <row r="1483" spans="1:28" x14ac:dyDescent="0.35">
      <c r="A1483" s="3"/>
      <c r="B1483" s="4"/>
      <c r="C1483" s="4"/>
      <c r="D1483" s="4"/>
      <c r="E1483" s="4"/>
      <c r="F1483" s="4"/>
      <c r="G1483" s="4"/>
      <c r="H1483" s="4"/>
      <c r="I1483" s="4"/>
      <c r="J1483" s="4"/>
      <c r="K1483" s="4"/>
      <c r="L1483" s="4"/>
      <c r="M1483" s="4"/>
      <c r="N1483" s="4"/>
      <c r="O1483" s="4"/>
      <c r="P1483" s="4"/>
      <c r="Q1483" s="4"/>
      <c r="R1483" s="4"/>
      <c r="S1483" s="4"/>
      <c r="T1483" s="4"/>
      <c r="U1483" s="4"/>
      <c r="V1483" s="4"/>
      <c r="W1483" s="4"/>
      <c r="X1483" s="4"/>
      <c r="Y1483" s="4"/>
      <c r="Z1483" s="4"/>
      <c r="AA1483" s="4"/>
      <c r="AB1483" s="5"/>
    </row>
    <row r="1484" spans="1:28" x14ac:dyDescent="0.35">
      <c r="A1484" s="3"/>
      <c r="B1484" s="4"/>
      <c r="C1484" s="4"/>
      <c r="D1484" s="4"/>
      <c r="E1484" s="4"/>
      <c r="F1484" s="4"/>
      <c r="G1484" s="4"/>
      <c r="H1484" s="4"/>
      <c r="I1484" s="4"/>
      <c r="J1484" s="4"/>
      <c r="K1484" s="4"/>
      <c r="L1484" s="4"/>
      <c r="M1484" s="4"/>
      <c r="N1484" s="4"/>
      <c r="O1484" s="4"/>
      <c r="P1484" s="4"/>
      <c r="Q1484" s="4"/>
      <c r="R1484" s="4"/>
      <c r="S1484" s="4"/>
      <c r="T1484" s="4"/>
      <c r="U1484" s="4"/>
      <c r="V1484" s="4"/>
      <c r="W1484" s="4"/>
      <c r="X1484" s="4"/>
      <c r="Y1484" s="4"/>
      <c r="Z1484" s="4"/>
      <c r="AA1484" s="4"/>
      <c r="AB1484" s="5"/>
    </row>
    <row r="1485" spans="1:28" x14ac:dyDescent="0.35">
      <c r="A1485" s="3"/>
      <c r="B1485" s="4"/>
      <c r="C1485" s="4"/>
      <c r="D1485" s="4"/>
      <c r="E1485" s="4"/>
      <c r="F1485" s="4"/>
      <c r="G1485" s="4"/>
      <c r="H1485" s="4"/>
      <c r="I1485" s="4"/>
      <c r="J1485" s="4"/>
      <c r="K1485" s="4"/>
      <c r="L1485" s="4"/>
      <c r="M1485" s="4"/>
      <c r="N1485" s="4"/>
      <c r="O1485" s="4"/>
      <c r="P1485" s="4"/>
      <c r="Q1485" s="4"/>
      <c r="R1485" s="4"/>
      <c r="S1485" s="4"/>
      <c r="T1485" s="4"/>
      <c r="U1485" s="4"/>
      <c r="V1485" s="4"/>
      <c r="W1485" s="4"/>
      <c r="X1485" s="4"/>
      <c r="Y1485" s="4"/>
      <c r="Z1485" s="4"/>
      <c r="AA1485" s="4"/>
      <c r="AB1485" s="5"/>
    </row>
    <row r="1486" spans="1:28" x14ac:dyDescent="0.35">
      <c r="A1486" s="3"/>
      <c r="B1486" s="4"/>
      <c r="C1486" s="4"/>
      <c r="D1486" s="4"/>
      <c r="E1486" s="4"/>
      <c r="F1486" s="4"/>
      <c r="G1486" s="4"/>
      <c r="H1486" s="4"/>
      <c r="I1486" s="4"/>
      <c r="J1486" s="4"/>
      <c r="K1486" s="4"/>
      <c r="L1486" s="4"/>
      <c r="M1486" s="4"/>
      <c r="N1486" s="4"/>
      <c r="O1486" s="4"/>
      <c r="P1486" s="4"/>
      <c r="Q1486" s="4"/>
      <c r="R1486" s="4"/>
      <c r="S1486" s="4"/>
      <c r="T1486" s="4"/>
      <c r="U1486" s="4"/>
      <c r="V1486" s="4"/>
      <c r="W1486" s="4"/>
      <c r="X1486" s="4"/>
      <c r="Y1486" s="4"/>
      <c r="Z1486" s="4"/>
      <c r="AA1486" s="4"/>
      <c r="AB1486" s="5"/>
    </row>
    <row r="1487" spans="1:28" x14ac:dyDescent="0.35">
      <c r="A1487" s="3"/>
      <c r="B1487" s="4"/>
      <c r="C1487" s="4"/>
      <c r="D1487" s="4"/>
      <c r="E1487" s="4"/>
      <c r="F1487" s="4"/>
      <c r="G1487" s="4"/>
      <c r="H1487" s="4"/>
      <c r="I1487" s="4"/>
      <c r="J1487" s="4"/>
      <c r="K1487" s="4"/>
      <c r="L1487" s="4"/>
      <c r="M1487" s="4"/>
      <c r="N1487" s="4"/>
      <c r="O1487" s="4"/>
      <c r="P1487" s="4"/>
      <c r="Q1487" s="4"/>
      <c r="R1487" s="4"/>
      <c r="S1487" s="4"/>
      <c r="T1487" s="4"/>
      <c r="U1487" s="4"/>
      <c r="V1487" s="4"/>
      <c r="W1487" s="4"/>
      <c r="X1487" s="4"/>
      <c r="Y1487" s="4"/>
      <c r="Z1487" s="4"/>
      <c r="AA1487" s="4"/>
      <c r="AB1487" s="5"/>
    </row>
    <row r="1488" spans="1:28" x14ac:dyDescent="0.35">
      <c r="A1488" s="3"/>
      <c r="B1488" s="4"/>
      <c r="C1488" s="4"/>
      <c r="D1488" s="4"/>
      <c r="E1488" s="4"/>
      <c r="F1488" s="4"/>
      <c r="G1488" s="4"/>
      <c r="H1488" s="4"/>
      <c r="I1488" s="4"/>
      <c r="J1488" s="4"/>
      <c r="K1488" s="4"/>
      <c r="L1488" s="4"/>
      <c r="M1488" s="4"/>
      <c r="N1488" s="4"/>
      <c r="O1488" s="4"/>
      <c r="P1488" s="4"/>
      <c r="Q1488" s="4"/>
      <c r="R1488" s="4"/>
      <c r="S1488" s="4"/>
      <c r="T1488" s="4"/>
      <c r="U1488" s="4"/>
      <c r="V1488" s="4"/>
      <c r="W1488" s="4"/>
      <c r="X1488" s="4"/>
      <c r="Y1488" s="4"/>
      <c r="Z1488" s="4"/>
      <c r="AA1488" s="4"/>
      <c r="AB1488" s="5"/>
    </row>
    <row r="1489" spans="1:28" x14ac:dyDescent="0.35">
      <c r="A1489" s="3"/>
      <c r="B1489" s="4"/>
      <c r="C1489" s="4"/>
      <c r="D1489" s="4"/>
      <c r="E1489" s="4"/>
      <c r="F1489" s="4"/>
      <c r="G1489" s="4"/>
      <c r="H1489" s="4"/>
      <c r="I1489" s="4"/>
      <c r="J1489" s="4"/>
      <c r="K1489" s="4"/>
      <c r="L1489" s="4"/>
      <c r="M1489" s="4"/>
      <c r="N1489" s="4"/>
      <c r="O1489" s="4"/>
      <c r="P1489" s="4"/>
      <c r="Q1489" s="4"/>
      <c r="R1489" s="4"/>
      <c r="S1489" s="4"/>
      <c r="T1489" s="4"/>
      <c r="U1489" s="4"/>
      <c r="V1489" s="4"/>
      <c r="W1489" s="4"/>
      <c r="X1489" s="4"/>
      <c r="Y1489" s="4"/>
      <c r="Z1489" s="4"/>
      <c r="AA1489" s="4"/>
      <c r="AB1489" s="5"/>
    </row>
    <row r="1490" spans="1:28" x14ac:dyDescent="0.35">
      <c r="A1490" s="3"/>
      <c r="B1490" s="4"/>
      <c r="C1490" s="4"/>
      <c r="D1490" s="4"/>
      <c r="E1490" s="4"/>
      <c r="F1490" s="4"/>
      <c r="G1490" s="4"/>
      <c r="H1490" s="4"/>
      <c r="I1490" s="4"/>
      <c r="J1490" s="4"/>
      <c r="K1490" s="4"/>
      <c r="L1490" s="4"/>
      <c r="M1490" s="4"/>
      <c r="N1490" s="4"/>
      <c r="O1490" s="4"/>
      <c r="P1490" s="4"/>
      <c r="Q1490" s="4"/>
      <c r="R1490" s="4"/>
      <c r="S1490" s="4"/>
      <c r="T1490" s="4"/>
      <c r="U1490" s="4"/>
      <c r="V1490" s="4"/>
      <c r="W1490" s="4"/>
      <c r="X1490" s="4"/>
      <c r="Y1490" s="4"/>
      <c r="Z1490" s="4"/>
      <c r="AA1490" s="4"/>
      <c r="AB1490" s="5"/>
    </row>
    <row r="1491" spans="1:28" x14ac:dyDescent="0.35">
      <c r="A1491" s="3"/>
      <c r="B1491" s="4"/>
      <c r="C1491" s="4"/>
      <c r="D1491" s="4"/>
      <c r="E1491" s="4"/>
      <c r="F1491" s="4"/>
      <c r="G1491" s="4"/>
      <c r="H1491" s="4"/>
      <c r="I1491" s="4"/>
      <c r="J1491" s="4"/>
      <c r="K1491" s="4"/>
      <c r="L1491" s="4"/>
      <c r="M1491" s="4"/>
      <c r="N1491" s="4"/>
      <c r="O1491" s="4"/>
      <c r="P1491" s="4"/>
      <c r="Q1491" s="4"/>
      <c r="R1491" s="4"/>
      <c r="S1491" s="4"/>
      <c r="T1491" s="4"/>
      <c r="U1491" s="4"/>
      <c r="V1491" s="4"/>
      <c r="W1491" s="4"/>
      <c r="X1491" s="4"/>
      <c r="Y1491" s="4"/>
      <c r="Z1491" s="4"/>
      <c r="AA1491" s="4"/>
      <c r="AB1491" s="5"/>
    </row>
    <row r="1492" spans="1:28" x14ac:dyDescent="0.35">
      <c r="A1492" s="3"/>
      <c r="B1492" s="4"/>
      <c r="C1492" s="4"/>
      <c r="D1492" s="4"/>
      <c r="E1492" s="4"/>
      <c r="F1492" s="4"/>
      <c r="G1492" s="4"/>
      <c r="H1492" s="4"/>
      <c r="I1492" s="4"/>
      <c r="J1492" s="4"/>
      <c r="K1492" s="4"/>
      <c r="L1492" s="4"/>
      <c r="M1492" s="4"/>
      <c r="N1492" s="4"/>
      <c r="O1492" s="4"/>
      <c r="P1492" s="4"/>
      <c r="Q1492" s="4"/>
      <c r="R1492" s="4"/>
      <c r="S1492" s="4"/>
      <c r="T1492" s="4"/>
      <c r="U1492" s="4"/>
      <c r="V1492" s="4"/>
      <c r="W1492" s="4"/>
      <c r="X1492" s="4"/>
      <c r="Y1492" s="4"/>
      <c r="Z1492" s="4"/>
      <c r="AA1492" s="4"/>
      <c r="AB1492" s="5"/>
    </row>
    <row r="1493" spans="1:28" x14ac:dyDescent="0.35">
      <c r="A1493" s="3"/>
      <c r="B1493" s="4"/>
      <c r="C1493" s="4"/>
      <c r="D1493" s="4"/>
      <c r="E1493" s="4"/>
      <c r="F1493" s="4"/>
      <c r="G1493" s="4"/>
      <c r="H1493" s="4"/>
      <c r="I1493" s="4"/>
      <c r="J1493" s="4"/>
      <c r="K1493" s="4"/>
      <c r="L1493" s="4"/>
      <c r="M1493" s="4"/>
      <c r="N1493" s="4"/>
      <c r="O1493" s="4"/>
      <c r="P1493" s="4"/>
      <c r="Q1493" s="4"/>
      <c r="R1493" s="4"/>
      <c r="S1493" s="4"/>
      <c r="T1493" s="4"/>
      <c r="U1493" s="4"/>
      <c r="V1493" s="4"/>
      <c r="W1493" s="4"/>
      <c r="X1493" s="4"/>
      <c r="Y1493" s="4"/>
      <c r="Z1493" s="4"/>
      <c r="AA1493" s="4"/>
      <c r="AB1493" s="5"/>
    </row>
    <row r="1494" spans="1:28" x14ac:dyDescent="0.35">
      <c r="A1494" s="3"/>
      <c r="B1494" s="4"/>
      <c r="C1494" s="4"/>
      <c r="D1494" s="4"/>
      <c r="E1494" s="4"/>
      <c r="F1494" s="4"/>
      <c r="G1494" s="4"/>
      <c r="H1494" s="4"/>
      <c r="I1494" s="4"/>
      <c r="J1494" s="4"/>
      <c r="K1494" s="4"/>
      <c r="L1494" s="4"/>
      <c r="M1494" s="4"/>
      <c r="N1494" s="4"/>
      <c r="O1494" s="4"/>
      <c r="P1494" s="4"/>
      <c r="Q1494" s="4"/>
      <c r="R1494" s="4"/>
      <c r="S1494" s="4"/>
      <c r="T1494" s="4"/>
      <c r="U1494" s="4"/>
      <c r="V1494" s="4"/>
      <c r="W1494" s="4"/>
      <c r="X1494" s="4"/>
      <c r="Y1494" s="4"/>
      <c r="Z1494" s="4"/>
      <c r="AA1494" s="4"/>
      <c r="AB1494" s="5"/>
    </row>
    <row r="1495" spans="1:28" x14ac:dyDescent="0.35">
      <c r="A1495" s="3"/>
      <c r="B1495" s="4"/>
      <c r="C1495" s="4"/>
      <c r="D1495" s="4"/>
      <c r="E1495" s="4"/>
      <c r="F1495" s="4"/>
      <c r="G1495" s="4"/>
      <c r="H1495" s="4"/>
      <c r="I1495" s="4"/>
      <c r="J1495" s="4"/>
      <c r="K1495" s="4"/>
      <c r="L1495" s="4"/>
      <c r="M1495" s="4"/>
      <c r="N1495" s="4"/>
      <c r="O1495" s="4"/>
      <c r="P1495" s="4"/>
      <c r="Q1495" s="4"/>
      <c r="R1495" s="4"/>
      <c r="S1495" s="4"/>
      <c r="T1495" s="4"/>
      <c r="U1495" s="4"/>
      <c r="V1495" s="4"/>
      <c r="W1495" s="4"/>
      <c r="X1495" s="4"/>
      <c r="Y1495" s="4"/>
      <c r="Z1495" s="4"/>
      <c r="AA1495" s="4"/>
      <c r="AB1495" s="5"/>
    </row>
    <row r="1496" spans="1:28" x14ac:dyDescent="0.35">
      <c r="A1496" s="3"/>
      <c r="B1496" s="4"/>
      <c r="C1496" s="4"/>
      <c r="D1496" s="4"/>
      <c r="E1496" s="4"/>
      <c r="F1496" s="4"/>
      <c r="G1496" s="4"/>
      <c r="H1496" s="4"/>
      <c r="I1496" s="4"/>
      <c r="J1496" s="4"/>
      <c r="K1496" s="4"/>
      <c r="L1496" s="4"/>
      <c r="M1496" s="4"/>
      <c r="N1496" s="4"/>
      <c r="O1496" s="4"/>
      <c r="P1496" s="4"/>
      <c r="Q1496" s="4"/>
      <c r="R1496" s="4"/>
      <c r="S1496" s="4"/>
      <c r="T1496" s="4"/>
      <c r="U1496" s="4"/>
      <c r="V1496" s="4"/>
      <c r="W1496" s="4"/>
      <c r="X1496" s="4"/>
      <c r="Y1496" s="4"/>
      <c r="Z1496" s="4"/>
      <c r="AA1496" s="4"/>
      <c r="AB1496" s="5"/>
    </row>
    <row r="1497" spans="1:28" x14ac:dyDescent="0.35">
      <c r="A1497" s="3"/>
      <c r="B1497" s="4"/>
      <c r="C1497" s="4"/>
      <c r="D1497" s="4"/>
      <c r="E1497" s="4"/>
      <c r="F1497" s="4"/>
      <c r="G1497" s="4"/>
      <c r="H1497" s="4"/>
      <c r="I1497" s="4"/>
      <c r="J1497" s="4"/>
      <c r="K1497" s="4"/>
      <c r="L1497" s="4"/>
      <c r="M1497" s="4"/>
      <c r="N1497" s="4"/>
      <c r="O1497" s="4"/>
      <c r="P1497" s="4"/>
      <c r="Q1497" s="4"/>
      <c r="R1497" s="4"/>
      <c r="S1497" s="4"/>
      <c r="T1497" s="4"/>
      <c r="U1497" s="4"/>
      <c r="V1497" s="4"/>
      <c r="W1497" s="4"/>
      <c r="X1497" s="4"/>
      <c r="Y1497" s="4"/>
      <c r="Z1497" s="4"/>
      <c r="AA1497" s="4"/>
      <c r="AB1497" s="5"/>
    </row>
    <row r="1498" spans="1:28" x14ac:dyDescent="0.35">
      <c r="A1498" s="3"/>
      <c r="B1498" s="4"/>
      <c r="C1498" s="4"/>
      <c r="D1498" s="4"/>
      <c r="E1498" s="4"/>
      <c r="F1498" s="4"/>
      <c r="G1498" s="4"/>
      <c r="H1498" s="4"/>
      <c r="I1498" s="4"/>
      <c r="J1498" s="4"/>
      <c r="K1498" s="4"/>
      <c r="L1498" s="4"/>
      <c r="M1498" s="4"/>
      <c r="N1498" s="4"/>
      <c r="O1498" s="4"/>
      <c r="P1498" s="4"/>
      <c r="Q1498" s="4"/>
      <c r="R1498" s="4"/>
      <c r="S1498" s="4"/>
      <c r="T1498" s="4"/>
      <c r="U1498" s="4"/>
      <c r="V1498" s="4"/>
      <c r="W1498" s="4"/>
      <c r="X1498" s="4"/>
      <c r="Y1498" s="4"/>
      <c r="Z1498" s="4"/>
      <c r="AA1498" s="4"/>
      <c r="AB1498" s="5"/>
    </row>
    <row r="1499" spans="1:28" x14ac:dyDescent="0.35">
      <c r="A1499" s="3"/>
      <c r="B1499" s="4"/>
      <c r="C1499" s="4"/>
      <c r="D1499" s="4"/>
      <c r="E1499" s="4"/>
      <c r="F1499" s="4"/>
      <c r="G1499" s="4"/>
      <c r="H1499" s="4"/>
      <c r="I1499" s="4"/>
      <c r="J1499" s="4"/>
      <c r="K1499" s="4"/>
      <c r="L1499" s="4"/>
      <c r="M1499" s="4"/>
      <c r="N1499" s="4"/>
      <c r="O1499" s="4"/>
      <c r="P1499" s="4"/>
      <c r="Q1499" s="4"/>
      <c r="R1499" s="4"/>
      <c r="S1499" s="4"/>
      <c r="T1499" s="4"/>
      <c r="U1499" s="4"/>
      <c r="V1499" s="4"/>
      <c r="W1499" s="4"/>
      <c r="X1499" s="4"/>
      <c r="Y1499" s="4"/>
      <c r="Z1499" s="4"/>
      <c r="AA1499" s="4"/>
      <c r="AB1499" s="5"/>
    </row>
    <row r="1500" spans="1:28" x14ac:dyDescent="0.35">
      <c r="A1500" s="3"/>
      <c r="B1500" s="4"/>
      <c r="C1500" s="4"/>
      <c r="D1500" s="4"/>
      <c r="E1500" s="4"/>
      <c r="F1500" s="4"/>
      <c r="G1500" s="4"/>
      <c r="H1500" s="4"/>
      <c r="I1500" s="4"/>
      <c r="J1500" s="4"/>
      <c r="K1500" s="4"/>
      <c r="L1500" s="4"/>
      <c r="M1500" s="4"/>
      <c r="N1500" s="4"/>
      <c r="O1500" s="4"/>
      <c r="P1500" s="4"/>
      <c r="Q1500" s="4"/>
      <c r="R1500" s="4"/>
      <c r="S1500" s="4"/>
      <c r="T1500" s="4"/>
      <c r="U1500" s="4"/>
      <c r="V1500" s="4"/>
      <c r="W1500" s="4"/>
      <c r="X1500" s="4"/>
      <c r="Y1500" s="4"/>
      <c r="Z1500" s="4"/>
      <c r="AA1500" s="4"/>
      <c r="AB1500" s="5"/>
    </row>
    <row r="1501" spans="1:28" x14ac:dyDescent="0.35">
      <c r="A1501" s="3"/>
      <c r="B1501" s="4"/>
      <c r="C1501" s="4"/>
      <c r="D1501" s="4"/>
      <c r="E1501" s="4"/>
      <c r="F1501" s="4"/>
      <c r="G1501" s="4"/>
      <c r="H1501" s="4"/>
      <c r="I1501" s="4"/>
      <c r="J1501" s="4"/>
      <c r="K1501" s="4"/>
      <c r="L1501" s="4"/>
      <c r="M1501" s="4"/>
      <c r="N1501" s="4"/>
      <c r="O1501" s="4"/>
      <c r="P1501" s="4"/>
      <c r="Q1501" s="4"/>
      <c r="R1501" s="4"/>
      <c r="S1501" s="4"/>
      <c r="T1501" s="4"/>
      <c r="U1501" s="4"/>
      <c r="V1501" s="4"/>
      <c r="W1501" s="4"/>
      <c r="X1501" s="4"/>
      <c r="Y1501" s="4"/>
      <c r="Z1501" s="4"/>
      <c r="AA1501" s="4"/>
      <c r="AB1501" s="5"/>
    </row>
    <row r="1502" spans="1:28" x14ac:dyDescent="0.35">
      <c r="A1502" s="3"/>
      <c r="B1502" s="4"/>
      <c r="C1502" s="4"/>
      <c r="D1502" s="4"/>
      <c r="E1502" s="4"/>
      <c r="F1502" s="4"/>
      <c r="G1502" s="4"/>
      <c r="H1502" s="4"/>
      <c r="I1502" s="4"/>
      <c r="J1502" s="4"/>
      <c r="K1502" s="4"/>
      <c r="L1502" s="4"/>
      <c r="M1502" s="4"/>
      <c r="N1502" s="4"/>
      <c r="O1502" s="4"/>
      <c r="P1502" s="4"/>
      <c r="Q1502" s="4"/>
      <c r="R1502" s="4"/>
      <c r="S1502" s="4"/>
      <c r="T1502" s="4"/>
      <c r="U1502" s="4"/>
      <c r="V1502" s="4"/>
      <c r="W1502" s="4"/>
      <c r="X1502" s="4"/>
      <c r="Y1502" s="4"/>
      <c r="Z1502" s="4"/>
      <c r="AA1502" s="4"/>
      <c r="AB1502" s="5"/>
    </row>
    <row r="1503" spans="1:28" x14ac:dyDescent="0.35">
      <c r="A1503" s="3"/>
      <c r="B1503" s="4"/>
      <c r="C1503" s="4"/>
      <c r="D1503" s="4"/>
      <c r="E1503" s="4"/>
      <c r="F1503" s="4"/>
      <c r="G1503" s="4"/>
      <c r="H1503" s="4"/>
      <c r="I1503" s="4"/>
      <c r="J1503" s="4"/>
      <c r="K1503" s="4"/>
      <c r="L1503" s="4"/>
      <c r="M1503" s="4"/>
      <c r="N1503" s="4"/>
      <c r="O1503" s="4"/>
      <c r="P1503" s="4"/>
      <c r="Q1503" s="4"/>
      <c r="R1503" s="4"/>
      <c r="S1503" s="4"/>
      <c r="T1503" s="4"/>
      <c r="U1503" s="4"/>
      <c r="V1503" s="4"/>
      <c r="W1503" s="4"/>
      <c r="X1503" s="4"/>
      <c r="Y1503" s="4"/>
      <c r="Z1503" s="4"/>
      <c r="AA1503" s="4"/>
      <c r="AB1503" s="5"/>
    </row>
    <row r="1504" spans="1:28" x14ac:dyDescent="0.35">
      <c r="A1504" s="3"/>
      <c r="B1504" s="4"/>
      <c r="C1504" s="4"/>
      <c r="D1504" s="4"/>
      <c r="E1504" s="4"/>
      <c r="F1504" s="4"/>
      <c r="G1504" s="4"/>
      <c r="H1504" s="4"/>
      <c r="I1504" s="4"/>
      <c r="J1504" s="4"/>
      <c r="K1504" s="4"/>
      <c r="L1504" s="4"/>
      <c r="M1504" s="4"/>
      <c r="N1504" s="4"/>
      <c r="O1504" s="4"/>
      <c r="P1504" s="4"/>
      <c r="Q1504" s="4"/>
      <c r="R1504" s="4"/>
      <c r="S1504" s="4"/>
      <c r="T1504" s="4"/>
      <c r="U1504" s="4"/>
      <c r="V1504" s="4"/>
      <c r="W1504" s="4"/>
      <c r="X1504" s="4"/>
      <c r="Y1504" s="4"/>
      <c r="Z1504" s="4"/>
      <c r="AA1504" s="4"/>
      <c r="AB1504" s="5"/>
    </row>
    <row r="1505" spans="1:28" x14ac:dyDescent="0.35">
      <c r="A1505" s="3"/>
      <c r="B1505" s="4"/>
      <c r="C1505" s="4"/>
      <c r="D1505" s="4"/>
      <c r="E1505" s="4"/>
      <c r="F1505" s="4"/>
      <c r="G1505" s="4"/>
      <c r="H1505" s="4"/>
      <c r="I1505" s="4"/>
      <c r="J1505" s="4"/>
      <c r="K1505" s="4"/>
      <c r="L1505" s="4"/>
      <c r="M1505" s="4"/>
      <c r="N1505" s="4"/>
      <c r="O1505" s="4"/>
      <c r="P1505" s="4"/>
      <c r="Q1505" s="4"/>
      <c r="R1505" s="4"/>
      <c r="S1505" s="4"/>
      <c r="T1505" s="4"/>
      <c r="U1505" s="4"/>
      <c r="V1505" s="4"/>
      <c r="W1505" s="4"/>
      <c r="X1505" s="4"/>
      <c r="Y1505" s="4"/>
      <c r="Z1505" s="4"/>
      <c r="AA1505" s="4"/>
      <c r="AB1505" s="5"/>
    </row>
    <row r="1506" spans="1:28" x14ac:dyDescent="0.35">
      <c r="A1506" s="3"/>
      <c r="B1506" s="4"/>
      <c r="C1506" s="4"/>
      <c r="D1506" s="4"/>
      <c r="E1506" s="4"/>
      <c r="F1506" s="4"/>
      <c r="G1506" s="4"/>
      <c r="H1506" s="4"/>
      <c r="I1506" s="4"/>
      <c r="J1506" s="4"/>
      <c r="K1506" s="4"/>
      <c r="L1506" s="4"/>
      <c r="M1506" s="4"/>
      <c r="N1506" s="4"/>
      <c r="O1506" s="4"/>
      <c r="P1506" s="4"/>
      <c r="Q1506" s="4"/>
      <c r="R1506" s="4"/>
      <c r="S1506" s="4"/>
      <c r="T1506" s="4"/>
      <c r="U1506" s="4"/>
      <c r="V1506" s="4"/>
      <c r="W1506" s="4"/>
      <c r="X1506" s="4"/>
      <c r="Y1506" s="4"/>
      <c r="Z1506" s="4"/>
      <c r="AA1506" s="4"/>
      <c r="AB1506" s="5"/>
    </row>
    <row r="1507" spans="1:28" x14ac:dyDescent="0.35">
      <c r="A1507" s="3"/>
      <c r="B1507" s="4"/>
      <c r="C1507" s="4"/>
      <c r="D1507" s="4"/>
      <c r="E1507" s="4"/>
      <c r="F1507" s="4"/>
      <c r="G1507" s="4"/>
      <c r="H1507" s="4"/>
      <c r="I1507" s="4"/>
      <c r="J1507" s="4"/>
      <c r="K1507" s="4"/>
      <c r="L1507" s="4"/>
      <c r="M1507" s="4"/>
      <c r="N1507" s="4"/>
      <c r="O1507" s="4"/>
      <c r="P1507" s="4"/>
      <c r="Q1507" s="4"/>
      <c r="R1507" s="4"/>
      <c r="S1507" s="4"/>
      <c r="T1507" s="4"/>
      <c r="U1507" s="4"/>
      <c r="V1507" s="4"/>
      <c r="W1507" s="4"/>
      <c r="X1507" s="4"/>
      <c r="Y1507" s="4"/>
      <c r="Z1507" s="4"/>
      <c r="AA1507" s="4"/>
      <c r="AB1507" s="5"/>
    </row>
    <row r="1508" spans="1:28" x14ac:dyDescent="0.35">
      <c r="A1508" s="3"/>
      <c r="B1508" s="4"/>
      <c r="C1508" s="4"/>
      <c r="D1508" s="4"/>
      <c r="E1508" s="4"/>
      <c r="F1508" s="4"/>
      <c r="G1508" s="4"/>
      <c r="H1508" s="4"/>
      <c r="I1508" s="4"/>
      <c r="J1508" s="4"/>
      <c r="K1508" s="4"/>
      <c r="L1508" s="4"/>
      <c r="M1508" s="4"/>
      <c r="N1508" s="4"/>
      <c r="O1508" s="4"/>
      <c r="P1508" s="4"/>
      <c r="Q1508" s="4"/>
      <c r="R1508" s="4"/>
      <c r="S1508" s="4"/>
      <c r="T1508" s="4"/>
      <c r="U1508" s="4"/>
      <c r="V1508" s="4"/>
      <c r="W1508" s="4"/>
      <c r="X1508" s="4"/>
      <c r="Y1508" s="4"/>
      <c r="Z1508" s="4"/>
      <c r="AA1508" s="4"/>
      <c r="AB1508" s="5"/>
    </row>
    <row r="1509" spans="1:28" x14ac:dyDescent="0.35">
      <c r="A1509" s="3"/>
      <c r="B1509" s="4"/>
      <c r="C1509" s="4"/>
      <c r="D1509" s="4"/>
      <c r="E1509" s="4"/>
      <c r="F1509" s="4"/>
      <c r="G1509" s="4"/>
      <c r="H1509" s="4"/>
      <c r="I1509" s="4"/>
      <c r="J1509" s="4"/>
      <c r="K1509" s="4"/>
      <c r="L1509" s="4"/>
      <c r="M1509" s="4"/>
      <c r="N1509" s="4"/>
      <c r="O1509" s="4"/>
      <c r="P1509" s="4"/>
      <c r="Q1509" s="4"/>
      <c r="R1509" s="4"/>
      <c r="S1509" s="4"/>
      <c r="T1509" s="4"/>
      <c r="U1509" s="4"/>
      <c r="V1509" s="4"/>
      <c r="W1509" s="4"/>
      <c r="X1509" s="4"/>
      <c r="Y1509" s="4"/>
      <c r="Z1509" s="4"/>
      <c r="AA1509" s="4"/>
      <c r="AB1509" s="5"/>
    </row>
    <row r="1510" spans="1:28" x14ac:dyDescent="0.35">
      <c r="A1510" s="3"/>
      <c r="B1510" s="4"/>
      <c r="C1510" s="4"/>
      <c r="D1510" s="4"/>
      <c r="E1510" s="4"/>
      <c r="F1510" s="4"/>
      <c r="G1510" s="4"/>
      <c r="H1510" s="4"/>
      <c r="I1510" s="4"/>
      <c r="J1510" s="4"/>
      <c r="K1510" s="4"/>
      <c r="L1510" s="4"/>
      <c r="M1510" s="4"/>
      <c r="N1510" s="4"/>
      <c r="O1510" s="4"/>
      <c r="P1510" s="4"/>
      <c r="Q1510" s="4"/>
      <c r="R1510" s="4"/>
      <c r="S1510" s="4"/>
      <c r="T1510" s="4"/>
      <c r="U1510" s="4"/>
      <c r="V1510" s="4"/>
      <c r="W1510" s="4"/>
      <c r="X1510" s="4"/>
      <c r="Y1510" s="4"/>
      <c r="Z1510" s="4"/>
      <c r="AA1510" s="4"/>
      <c r="AB1510" s="5"/>
    </row>
    <row r="1511" spans="1:28" x14ac:dyDescent="0.35">
      <c r="A1511" s="3"/>
      <c r="B1511" s="4"/>
      <c r="C1511" s="4"/>
      <c r="D1511" s="4"/>
      <c r="E1511" s="4"/>
      <c r="F1511" s="4"/>
      <c r="G1511" s="4"/>
      <c r="H1511" s="4"/>
      <c r="I1511" s="4"/>
      <c r="J1511" s="4"/>
      <c r="K1511" s="4"/>
      <c r="L1511" s="4"/>
      <c r="M1511" s="4"/>
      <c r="N1511" s="4"/>
      <c r="O1511" s="4"/>
      <c r="P1511" s="4"/>
      <c r="Q1511" s="4"/>
      <c r="R1511" s="4"/>
      <c r="S1511" s="4"/>
      <c r="T1511" s="4"/>
      <c r="U1511" s="4"/>
      <c r="V1511" s="4"/>
      <c r="W1511" s="4"/>
      <c r="X1511" s="4"/>
      <c r="Y1511" s="4"/>
      <c r="Z1511" s="4"/>
      <c r="AA1511" s="4"/>
      <c r="AB1511" s="5"/>
    </row>
    <row r="1512" spans="1:28" x14ac:dyDescent="0.35">
      <c r="A1512" s="3"/>
      <c r="B1512" s="4"/>
      <c r="C1512" s="4"/>
      <c r="D1512" s="4"/>
      <c r="E1512" s="4"/>
      <c r="F1512" s="4"/>
      <c r="G1512" s="4"/>
      <c r="H1512" s="4"/>
      <c r="I1512" s="4"/>
      <c r="J1512" s="4"/>
      <c r="K1512" s="4"/>
      <c r="L1512" s="4"/>
      <c r="M1512" s="4"/>
      <c r="N1512" s="4"/>
      <c r="O1512" s="4"/>
      <c r="P1512" s="4"/>
      <c r="Q1512" s="4"/>
      <c r="R1512" s="4"/>
      <c r="S1512" s="4"/>
      <c r="T1512" s="4"/>
      <c r="U1512" s="4"/>
      <c r="V1512" s="4"/>
      <c r="W1512" s="4"/>
      <c r="X1512" s="4"/>
      <c r="Y1512" s="4"/>
      <c r="Z1512" s="4"/>
      <c r="AA1512" s="4"/>
      <c r="AB1512" s="5"/>
    </row>
    <row r="1513" spans="1:28" x14ac:dyDescent="0.35">
      <c r="A1513" s="3"/>
      <c r="B1513" s="4"/>
      <c r="C1513" s="4"/>
      <c r="D1513" s="4"/>
      <c r="E1513" s="4"/>
      <c r="F1513" s="4"/>
      <c r="G1513" s="4"/>
      <c r="H1513" s="4"/>
      <c r="I1513" s="4"/>
      <c r="J1513" s="4"/>
      <c r="K1513" s="4"/>
      <c r="L1513" s="4"/>
      <c r="M1513" s="4"/>
      <c r="N1513" s="4"/>
      <c r="O1513" s="4"/>
      <c r="P1513" s="4"/>
      <c r="Q1513" s="4"/>
      <c r="R1513" s="4"/>
      <c r="S1513" s="4"/>
      <c r="T1513" s="4"/>
      <c r="U1513" s="4"/>
      <c r="V1513" s="4"/>
      <c r="W1513" s="4"/>
      <c r="X1513" s="4"/>
      <c r="Y1513" s="4"/>
      <c r="Z1513" s="4"/>
      <c r="AA1513" s="4"/>
      <c r="AB1513" s="5"/>
    </row>
    <row r="1514" spans="1:28" x14ac:dyDescent="0.35">
      <c r="A1514" s="3"/>
      <c r="B1514" s="4"/>
      <c r="C1514" s="4"/>
      <c r="D1514" s="4"/>
      <c r="E1514" s="4"/>
      <c r="F1514" s="4"/>
      <c r="G1514" s="4"/>
      <c r="H1514" s="4"/>
      <c r="I1514" s="4"/>
      <c r="J1514" s="4"/>
      <c r="K1514" s="4"/>
      <c r="L1514" s="4"/>
      <c r="M1514" s="4"/>
      <c r="N1514" s="4"/>
      <c r="O1514" s="4"/>
      <c r="P1514" s="4"/>
      <c r="Q1514" s="4"/>
      <c r="R1514" s="4"/>
      <c r="S1514" s="4"/>
      <c r="T1514" s="4"/>
      <c r="U1514" s="4"/>
      <c r="V1514" s="4"/>
      <c r="W1514" s="4"/>
      <c r="X1514" s="4"/>
      <c r="Y1514" s="4"/>
      <c r="Z1514" s="4"/>
      <c r="AA1514" s="4"/>
      <c r="AB1514" s="5"/>
    </row>
    <row r="1515" spans="1:28" x14ac:dyDescent="0.35">
      <c r="A1515" s="3"/>
      <c r="B1515" s="4"/>
      <c r="C1515" s="4"/>
      <c r="D1515" s="4"/>
      <c r="E1515" s="4"/>
      <c r="F1515" s="4"/>
      <c r="G1515" s="4"/>
      <c r="H1515" s="4"/>
      <c r="I1515" s="4"/>
      <c r="J1515" s="4"/>
      <c r="K1515" s="4"/>
      <c r="L1515" s="4"/>
      <c r="M1515" s="4"/>
      <c r="N1515" s="4"/>
      <c r="O1515" s="4"/>
      <c r="P1515" s="4"/>
      <c r="Q1515" s="4"/>
      <c r="R1515" s="4"/>
      <c r="S1515" s="4"/>
      <c r="T1515" s="4"/>
      <c r="U1515" s="4"/>
      <c r="V1515" s="4"/>
      <c r="W1515" s="4"/>
      <c r="X1515" s="4"/>
      <c r="Y1515" s="4"/>
      <c r="Z1515" s="4"/>
      <c r="AA1515" s="4"/>
      <c r="AB1515" s="5"/>
    </row>
    <row r="1516" spans="1:28" x14ac:dyDescent="0.35">
      <c r="A1516" s="3"/>
      <c r="B1516" s="4"/>
      <c r="C1516" s="4"/>
      <c r="D1516" s="4"/>
      <c r="E1516" s="4"/>
      <c r="F1516" s="4"/>
      <c r="G1516" s="4"/>
      <c r="H1516" s="4"/>
      <c r="I1516" s="4"/>
      <c r="J1516" s="4"/>
      <c r="K1516" s="4"/>
      <c r="L1516" s="4"/>
      <c r="M1516" s="4"/>
      <c r="N1516" s="4"/>
      <c r="O1516" s="4"/>
      <c r="P1516" s="4"/>
      <c r="Q1516" s="4"/>
      <c r="R1516" s="4"/>
      <c r="S1516" s="4"/>
      <c r="T1516" s="4"/>
      <c r="U1516" s="4"/>
      <c r="V1516" s="4"/>
      <c r="W1516" s="4"/>
      <c r="X1516" s="4"/>
      <c r="Y1516" s="4"/>
      <c r="Z1516" s="4"/>
      <c r="AA1516" s="4"/>
      <c r="AB1516" s="5"/>
    </row>
    <row r="1517" spans="1:28" x14ac:dyDescent="0.35">
      <c r="A1517" s="3"/>
      <c r="B1517" s="4"/>
      <c r="C1517" s="4"/>
      <c r="D1517" s="4"/>
      <c r="E1517" s="4"/>
      <c r="F1517" s="4"/>
      <c r="G1517" s="4"/>
      <c r="H1517" s="4"/>
      <c r="I1517" s="4"/>
      <c r="J1517" s="4"/>
      <c r="K1517" s="4"/>
      <c r="L1517" s="4"/>
      <c r="M1517" s="4"/>
      <c r="N1517" s="4"/>
      <c r="O1517" s="4"/>
      <c r="P1517" s="4"/>
      <c r="Q1517" s="4"/>
      <c r="R1517" s="4"/>
      <c r="S1517" s="4"/>
      <c r="T1517" s="4"/>
      <c r="U1517" s="4"/>
      <c r="V1517" s="4"/>
      <c r="W1517" s="4"/>
      <c r="X1517" s="4"/>
      <c r="Y1517" s="4"/>
      <c r="Z1517" s="4"/>
      <c r="AA1517" s="4"/>
      <c r="AB1517" s="5"/>
    </row>
    <row r="1518" spans="1:28" x14ac:dyDescent="0.35">
      <c r="A1518" s="3"/>
      <c r="B1518" s="4"/>
      <c r="C1518" s="4"/>
      <c r="D1518" s="4"/>
      <c r="E1518" s="4"/>
      <c r="F1518" s="4"/>
      <c r="G1518" s="4"/>
      <c r="H1518" s="4"/>
      <c r="I1518" s="4"/>
      <c r="J1518" s="4"/>
      <c r="K1518" s="4"/>
      <c r="L1518" s="4"/>
      <c r="M1518" s="4"/>
      <c r="N1518" s="4"/>
      <c r="O1518" s="4"/>
      <c r="P1518" s="4"/>
      <c r="Q1518" s="4"/>
      <c r="R1518" s="4"/>
      <c r="S1518" s="4"/>
      <c r="T1518" s="4"/>
      <c r="U1518" s="4"/>
      <c r="V1518" s="4"/>
      <c r="W1518" s="4"/>
      <c r="X1518" s="4"/>
      <c r="Y1518" s="4"/>
      <c r="Z1518" s="4"/>
      <c r="AA1518" s="4"/>
      <c r="AB1518" s="5"/>
    </row>
    <row r="1519" spans="1:28" x14ac:dyDescent="0.35">
      <c r="A1519" s="3"/>
      <c r="B1519" s="4"/>
      <c r="C1519" s="4"/>
      <c r="D1519" s="4"/>
      <c r="E1519" s="4"/>
      <c r="F1519" s="4"/>
      <c r="G1519" s="4"/>
      <c r="H1519" s="4"/>
      <c r="I1519" s="4"/>
      <c r="J1519" s="4"/>
      <c r="K1519" s="4"/>
      <c r="L1519" s="4"/>
      <c r="M1519" s="4"/>
      <c r="N1519" s="4"/>
      <c r="O1519" s="4"/>
      <c r="P1519" s="4"/>
      <c r="Q1519" s="4"/>
      <c r="R1519" s="4"/>
      <c r="S1519" s="4"/>
      <c r="T1519" s="4"/>
      <c r="U1519" s="4"/>
      <c r="V1519" s="4"/>
      <c r="W1519" s="4"/>
      <c r="X1519" s="4"/>
      <c r="Y1519" s="4"/>
      <c r="Z1519" s="4"/>
      <c r="AA1519" s="4"/>
      <c r="AB1519" s="5"/>
    </row>
    <row r="1520" spans="1:28" x14ac:dyDescent="0.35">
      <c r="A1520" s="3"/>
      <c r="B1520" s="4"/>
      <c r="C1520" s="4"/>
      <c r="D1520" s="4"/>
      <c r="E1520" s="4"/>
      <c r="F1520" s="4"/>
      <c r="G1520" s="4"/>
      <c r="H1520" s="4"/>
      <c r="I1520" s="4"/>
      <c r="J1520" s="4"/>
      <c r="K1520" s="4"/>
      <c r="L1520" s="4"/>
      <c r="M1520" s="4"/>
      <c r="N1520" s="4"/>
      <c r="O1520" s="4"/>
      <c r="P1520" s="4"/>
      <c r="Q1520" s="4"/>
      <c r="R1520" s="4"/>
      <c r="S1520" s="4"/>
      <c r="T1520" s="4"/>
      <c r="U1520" s="4"/>
      <c r="V1520" s="4"/>
      <c r="W1520" s="4"/>
      <c r="X1520" s="4"/>
      <c r="Y1520" s="4"/>
      <c r="Z1520" s="4"/>
      <c r="AA1520" s="4"/>
      <c r="AB1520" s="5"/>
    </row>
    <row r="1521" spans="1:28" x14ac:dyDescent="0.35">
      <c r="A1521" s="3"/>
      <c r="B1521" s="4"/>
      <c r="C1521" s="4"/>
      <c r="D1521" s="4"/>
      <c r="E1521" s="4"/>
      <c r="F1521" s="4"/>
      <c r="G1521" s="4"/>
      <c r="H1521" s="4"/>
      <c r="I1521" s="4"/>
      <c r="J1521" s="4"/>
      <c r="K1521" s="4"/>
      <c r="L1521" s="4"/>
      <c r="M1521" s="4"/>
      <c r="N1521" s="4"/>
      <c r="O1521" s="4"/>
      <c r="P1521" s="4"/>
      <c r="Q1521" s="4"/>
      <c r="R1521" s="4"/>
      <c r="S1521" s="4"/>
      <c r="T1521" s="4"/>
      <c r="U1521" s="4"/>
      <c r="V1521" s="4"/>
      <c r="W1521" s="4"/>
      <c r="X1521" s="4"/>
      <c r="Y1521" s="4"/>
      <c r="Z1521" s="4"/>
      <c r="AA1521" s="4"/>
      <c r="AB1521" s="5"/>
    </row>
    <row r="1522" spans="1:28" x14ac:dyDescent="0.35">
      <c r="A1522" s="3"/>
      <c r="B1522" s="4"/>
      <c r="C1522" s="4"/>
      <c r="D1522" s="4"/>
      <c r="E1522" s="4"/>
      <c r="F1522" s="4"/>
      <c r="G1522" s="4"/>
      <c r="H1522" s="4"/>
      <c r="I1522" s="4"/>
      <c r="J1522" s="4"/>
      <c r="K1522" s="4"/>
      <c r="L1522" s="4"/>
      <c r="M1522" s="4"/>
      <c r="N1522" s="4"/>
      <c r="O1522" s="4"/>
      <c r="P1522" s="4"/>
      <c r="Q1522" s="4"/>
      <c r="R1522" s="4"/>
      <c r="S1522" s="4"/>
      <c r="T1522" s="4"/>
      <c r="U1522" s="4"/>
      <c r="V1522" s="4"/>
      <c r="W1522" s="4"/>
      <c r="X1522" s="4"/>
      <c r="Y1522" s="4"/>
      <c r="Z1522" s="4"/>
      <c r="AA1522" s="4"/>
      <c r="AB1522" s="5"/>
    </row>
    <row r="1523" spans="1:28" x14ac:dyDescent="0.35">
      <c r="A1523" s="3"/>
      <c r="B1523" s="4"/>
      <c r="C1523" s="4"/>
      <c r="D1523" s="4"/>
      <c r="E1523" s="4"/>
      <c r="F1523" s="4"/>
      <c r="G1523" s="4"/>
      <c r="H1523" s="4"/>
      <c r="I1523" s="4"/>
      <c r="J1523" s="4"/>
      <c r="K1523" s="4"/>
      <c r="L1523" s="4"/>
      <c r="M1523" s="4"/>
      <c r="N1523" s="4"/>
      <c r="O1523" s="4"/>
      <c r="P1523" s="4"/>
      <c r="Q1523" s="4"/>
      <c r="R1523" s="4"/>
      <c r="S1523" s="4"/>
      <c r="T1523" s="4"/>
      <c r="U1523" s="4"/>
      <c r="V1523" s="4"/>
      <c r="W1523" s="4"/>
      <c r="X1523" s="4"/>
      <c r="Y1523" s="4"/>
      <c r="Z1523" s="4"/>
      <c r="AA1523" s="4"/>
      <c r="AB1523" s="5"/>
    </row>
    <row r="1524" spans="1:28" x14ac:dyDescent="0.35">
      <c r="A1524" s="3"/>
      <c r="B1524" s="4"/>
      <c r="C1524" s="4"/>
      <c r="D1524" s="4"/>
      <c r="E1524" s="4"/>
      <c r="F1524" s="4"/>
      <c r="G1524" s="4"/>
      <c r="H1524" s="4"/>
      <c r="I1524" s="4"/>
      <c r="J1524" s="4"/>
      <c r="K1524" s="4"/>
      <c r="L1524" s="4"/>
      <c r="M1524" s="4"/>
      <c r="N1524" s="4"/>
      <c r="O1524" s="4"/>
      <c r="P1524" s="4"/>
      <c r="Q1524" s="4"/>
      <c r="R1524" s="4"/>
      <c r="S1524" s="4"/>
      <c r="T1524" s="4"/>
      <c r="U1524" s="4"/>
      <c r="V1524" s="4"/>
      <c r="W1524" s="4"/>
      <c r="X1524" s="4"/>
      <c r="Y1524" s="4"/>
      <c r="Z1524" s="4"/>
      <c r="AA1524" s="4"/>
      <c r="AB1524" s="5"/>
    </row>
    <row r="1525" spans="1:28" x14ac:dyDescent="0.35">
      <c r="A1525" s="3"/>
      <c r="B1525" s="4"/>
      <c r="C1525" s="4"/>
      <c r="D1525" s="4"/>
      <c r="E1525" s="4"/>
      <c r="F1525" s="4"/>
      <c r="G1525" s="4"/>
      <c r="H1525" s="4"/>
      <c r="I1525" s="4"/>
      <c r="J1525" s="4"/>
      <c r="K1525" s="4"/>
      <c r="L1525" s="4"/>
      <c r="M1525" s="4"/>
      <c r="N1525" s="4"/>
      <c r="O1525" s="4"/>
      <c r="P1525" s="4"/>
      <c r="Q1525" s="4"/>
      <c r="R1525" s="4"/>
      <c r="S1525" s="4"/>
      <c r="T1525" s="4"/>
      <c r="U1525" s="4"/>
      <c r="V1525" s="4"/>
      <c r="W1525" s="4"/>
      <c r="X1525" s="4"/>
      <c r="Y1525" s="4"/>
      <c r="Z1525" s="4"/>
      <c r="AA1525" s="4"/>
      <c r="AB1525" s="5"/>
    </row>
    <row r="1526" spans="1:28" x14ac:dyDescent="0.35">
      <c r="A1526" s="3"/>
      <c r="B1526" s="4"/>
      <c r="C1526" s="4"/>
      <c r="D1526" s="4"/>
      <c r="E1526" s="4"/>
      <c r="F1526" s="4"/>
      <c r="G1526" s="4"/>
      <c r="H1526" s="4"/>
      <c r="I1526" s="4"/>
      <c r="J1526" s="4"/>
      <c r="K1526" s="4"/>
      <c r="L1526" s="4"/>
      <c r="M1526" s="4"/>
      <c r="N1526" s="4"/>
      <c r="O1526" s="4"/>
      <c r="P1526" s="4"/>
      <c r="Q1526" s="4"/>
      <c r="R1526" s="4"/>
      <c r="S1526" s="4"/>
      <c r="T1526" s="4"/>
      <c r="U1526" s="4"/>
      <c r="V1526" s="4"/>
      <c r="W1526" s="4"/>
      <c r="X1526" s="4"/>
      <c r="Y1526" s="4"/>
      <c r="Z1526" s="4"/>
      <c r="AA1526" s="4"/>
      <c r="AB1526" s="5"/>
    </row>
    <row r="1527" spans="1:28" x14ac:dyDescent="0.35">
      <c r="A1527" s="3"/>
      <c r="B1527" s="4"/>
      <c r="C1527" s="4"/>
      <c r="D1527" s="4"/>
      <c r="E1527" s="4"/>
      <c r="F1527" s="4"/>
      <c r="G1527" s="4"/>
      <c r="H1527" s="4"/>
      <c r="I1527" s="4"/>
      <c r="J1527" s="4"/>
      <c r="K1527" s="4"/>
      <c r="L1527" s="4"/>
      <c r="M1527" s="4"/>
      <c r="N1527" s="4"/>
      <c r="O1527" s="4"/>
      <c r="P1527" s="4"/>
      <c r="Q1527" s="4"/>
      <c r="R1527" s="4"/>
      <c r="S1527" s="4"/>
      <c r="T1527" s="4"/>
      <c r="U1527" s="4"/>
      <c r="V1527" s="4"/>
      <c r="W1527" s="4"/>
      <c r="X1527" s="4"/>
      <c r="Y1527" s="4"/>
      <c r="Z1527" s="4"/>
      <c r="AA1527" s="4"/>
      <c r="AB1527" s="5"/>
    </row>
    <row r="1528" spans="1:28" x14ac:dyDescent="0.35">
      <c r="A1528" s="3"/>
      <c r="B1528" s="4"/>
      <c r="C1528" s="4"/>
      <c r="D1528" s="4"/>
      <c r="E1528" s="4"/>
      <c r="F1528" s="4"/>
      <c r="G1528" s="4"/>
      <c r="H1528" s="4"/>
      <c r="I1528" s="4"/>
      <c r="J1528" s="4"/>
      <c r="K1528" s="4"/>
      <c r="L1528" s="4"/>
      <c r="M1528" s="4"/>
      <c r="N1528" s="4"/>
      <c r="O1528" s="4"/>
      <c r="P1528" s="4"/>
      <c r="Q1528" s="4"/>
      <c r="R1528" s="4"/>
      <c r="S1528" s="4"/>
      <c r="T1528" s="4"/>
      <c r="U1528" s="4"/>
      <c r="V1528" s="4"/>
      <c r="W1528" s="4"/>
      <c r="X1528" s="4"/>
      <c r="Y1528" s="4"/>
      <c r="Z1528" s="4"/>
      <c r="AA1528" s="4"/>
      <c r="AB1528" s="5"/>
    </row>
    <row r="1529" spans="1:28" x14ac:dyDescent="0.35">
      <c r="A1529" s="3"/>
      <c r="B1529" s="4"/>
      <c r="C1529" s="4"/>
      <c r="D1529" s="4"/>
      <c r="E1529" s="4"/>
      <c r="F1529" s="4"/>
      <c r="G1529" s="4"/>
      <c r="H1529" s="4"/>
      <c r="I1529" s="4"/>
      <c r="J1529" s="4"/>
      <c r="K1529" s="4"/>
      <c r="L1529" s="4"/>
      <c r="M1529" s="4"/>
      <c r="N1529" s="4"/>
      <c r="O1529" s="4"/>
      <c r="P1529" s="4"/>
      <c r="Q1529" s="4"/>
      <c r="R1529" s="4"/>
      <c r="S1529" s="4"/>
      <c r="T1529" s="4"/>
      <c r="U1529" s="4"/>
      <c r="V1529" s="4"/>
      <c r="W1529" s="4"/>
      <c r="X1529" s="4"/>
      <c r="Y1529" s="4"/>
      <c r="Z1529" s="4"/>
      <c r="AA1529" s="4"/>
      <c r="AB1529" s="5"/>
    </row>
    <row r="1530" spans="1:28" x14ac:dyDescent="0.35">
      <c r="A1530" s="3"/>
      <c r="B1530" s="4"/>
      <c r="C1530" s="4"/>
      <c r="D1530" s="4"/>
      <c r="E1530" s="4"/>
      <c r="F1530" s="4"/>
      <c r="G1530" s="4"/>
      <c r="H1530" s="4"/>
      <c r="I1530" s="4"/>
      <c r="J1530" s="4"/>
      <c r="K1530" s="4"/>
      <c r="L1530" s="4"/>
      <c r="M1530" s="4"/>
      <c r="N1530" s="4"/>
      <c r="O1530" s="4"/>
      <c r="P1530" s="4"/>
      <c r="Q1530" s="4"/>
      <c r="R1530" s="4"/>
      <c r="S1530" s="4"/>
      <c r="T1530" s="4"/>
      <c r="U1530" s="4"/>
      <c r="V1530" s="4"/>
      <c r="W1530" s="4"/>
      <c r="X1530" s="4"/>
      <c r="Y1530" s="4"/>
      <c r="Z1530" s="4"/>
      <c r="AA1530" s="4"/>
      <c r="AB1530" s="5"/>
    </row>
    <row r="1531" spans="1:28" x14ac:dyDescent="0.35">
      <c r="A1531" s="3"/>
      <c r="B1531" s="4"/>
      <c r="C1531" s="4"/>
      <c r="D1531" s="4"/>
      <c r="E1531" s="4"/>
      <c r="F1531" s="4"/>
      <c r="G1531" s="4"/>
      <c r="H1531" s="4"/>
      <c r="I1531" s="4"/>
      <c r="J1531" s="4"/>
      <c r="K1531" s="4"/>
      <c r="L1531" s="4"/>
      <c r="M1531" s="4"/>
      <c r="N1531" s="4"/>
      <c r="O1531" s="4"/>
      <c r="P1531" s="4"/>
      <c r="Q1531" s="4"/>
      <c r="R1531" s="4"/>
      <c r="S1531" s="4"/>
      <c r="T1531" s="4"/>
      <c r="U1531" s="4"/>
      <c r="V1531" s="4"/>
      <c r="W1531" s="4"/>
      <c r="X1531" s="4"/>
      <c r="Y1531" s="4"/>
      <c r="Z1531" s="4"/>
      <c r="AA1531" s="4"/>
      <c r="AB1531" s="5"/>
    </row>
    <row r="1532" spans="1:28" x14ac:dyDescent="0.35">
      <c r="A1532" s="3"/>
      <c r="B1532" s="4"/>
      <c r="C1532" s="4"/>
      <c r="D1532" s="4"/>
      <c r="E1532" s="4"/>
      <c r="F1532" s="4"/>
      <c r="G1532" s="4"/>
      <c r="H1532" s="4"/>
      <c r="I1532" s="4"/>
      <c r="J1532" s="4"/>
      <c r="K1532" s="4"/>
      <c r="L1532" s="4"/>
      <c r="M1532" s="4"/>
      <c r="N1532" s="4"/>
      <c r="O1532" s="4"/>
      <c r="P1532" s="4"/>
      <c r="Q1532" s="4"/>
      <c r="R1532" s="4"/>
      <c r="S1532" s="4"/>
      <c r="T1532" s="4"/>
      <c r="U1532" s="4"/>
      <c r="V1532" s="4"/>
      <c r="W1532" s="4"/>
      <c r="X1532" s="4"/>
      <c r="Y1532" s="4"/>
      <c r="Z1532" s="4"/>
      <c r="AA1532" s="4"/>
      <c r="AB1532" s="5"/>
    </row>
    <row r="1533" spans="1:28" x14ac:dyDescent="0.35">
      <c r="A1533" s="3"/>
      <c r="B1533" s="4"/>
      <c r="C1533" s="4"/>
      <c r="D1533" s="4"/>
      <c r="E1533" s="4"/>
      <c r="F1533" s="4"/>
      <c r="G1533" s="4"/>
      <c r="H1533" s="4"/>
      <c r="I1533" s="4"/>
      <c r="J1533" s="4"/>
      <c r="K1533" s="4"/>
      <c r="L1533" s="4"/>
      <c r="M1533" s="4"/>
      <c r="N1533" s="4"/>
      <c r="O1533" s="4"/>
      <c r="P1533" s="4"/>
      <c r="Q1533" s="4"/>
      <c r="R1533" s="4"/>
      <c r="S1533" s="4"/>
      <c r="T1533" s="4"/>
      <c r="U1533" s="4"/>
      <c r="V1533" s="4"/>
      <c r="W1533" s="4"/>
      <c r="X1533" s="4"/>
      <c r="Y1533" s="4"/>
      <c r="Z1533" s="4"/>
      <c r="AA1533" s="4"/>
      <c r="AB1533" s="5"/>
    </row>
    <row r="1534" spans="1:28" x14ac:dyDescent="0.35">
      <c r="A1534" s="3"/>
      <c r="B1534" s="4"/>
      <c r="C1534" s="4"/>
      <c r="D1534" s="4"/>
      <c r="E1534" s="4"/>
      <c r="F1534" s="4"/>
      <c r="G1534" s="4"/>
      <c r="H1534" s="4"/>
      <c r="I1534" s="4"/>
      <c r="J1534" s="4"/>
      <c r="K1534" s="4"/>
      <c r="L1534" s="4"/>
      <c r="M1534" s="4"/>
      <c r="N1534" s="4"/>
      <c r="O1534" s="4"/>
      <c r="P1534" s="4"/>
      <c r="Q1534" s="4"/>
      <c r="R1534" s="4"/>
      <c r="S1534" s="4"/>
      <c r="T1534" s="4"/>
      <c r="U1534" s="4"/>
      <c r="V1534" s="4"/>
      <c r="W1534" s="4"/>
      <c r="X1534" s="4"/>
      <c r="Y1534" s="4"/>
      <c r="Z1534" s="4"/>
      <c r="AA1534" s="4"/>
      <c r="AB1534" s="5"/>
    </row>
    <row r="1535" spans="1:28" x14ac:dyDescent="0.35">
      <c r="A1535" s="3"/>
      <c r="B1535" s="4"/>
      <c r="C1535" s="4"/>
      <c r="D1535" s="4"/>
      <c r="E1535" s="4"/>
      <c r="F1535" s="4"/>
      <c r="G1535" s="4"/>
      <c r="H1535" s="4"/>
      <c r="I1535" s="4"/>
      <c r="J1535" s="4"/>
      <c r="K1535" s="4"/>
      <c r="L1535" s="4"/>
      <c r="M1535" s="4"/>
      <c r="N1535" s="4"/>
      <c r="O1535" s="4"/>
      <c r="P1535" s="4"/>
      <c r="Q1535" s="4"/>
      <c r="R1535" s="4"/>
      <c r="S1535" s="4"/>
      <c r="T1535" s="4"/>
      <c r="U1535" s="4"/>
      <c r="V1535" s="4"/>
      <c r="W1535" s="4"/>
      <c r="X1535" s="4"/>
      <c r="Y1535" s="4"/>
      <c r="Z1535" s="4"/>
      <c r="AA1535" s="4"/>
      <c r="AB1535" s="5"/>
    </row>
    <row r="1536" spans="1:28" x14ac:dyDescent="0.35">
      <c r="A1536" s="3"/>
      <c r="B1536" s="4"/>
      <c r="C1536" s="4"/>
      <c r="D1536" s="4"/>
      <c r="E1536" s="4"/>
      <c r="F1536" s="4"/>
      <c r="G1536" s="4"/>
      <c r="H1536" s="4"/>
      <c r="I1536" s="4"/>
      <c r="J1536" s="4"/>
      <c r="K1536" s="4"/>
      <c r="L1536" s="4"/>
      <c r="M1536" s="4"/>
      <c r="N1536" s="4"/>
      <c r="O1536" s="4"/>
      <c r="P1536" s="4"/>
      <c r="Q1536" s="4"/>
      <c r="R1536" s="4"/>
      <c r="S1536" s="4"/>
      <c r="T1536" s="4"/>
      <c r="U1536" s="4"/>
      <c r="V1536" s="4"/>
      <c r="W1536" s="4"/>
      <c r="X1536" s="4"/>
      <c r="Y1536" s="4"/>
      <c r="Z1536" s="4"/>
      <c r="AA1536" s="4"/>
      <c r="AB1536" s="5"/>
    </row>
    <row r="1537" spans="1:28" x14ac:dyDescent="0.35">
      <c r="A1537" s="3"/>
      <c r="B1537" s="4"/>
      <c r="C1537" s="4"/>
      <c r="D1537" s="4"/>
      <c r="E1537" s="4"/>
      <c r="F1537" s="4"/>
      <c r="G1537" s="4"/>
      <c r="H1537" s="4"/>
      <c r="I1537" s="4"/>
      <c r="J1537" s="4"/>
      <c r="K1537" s="4"/>
      <c r="L1537" s="4"/>
      <c r="M1537" s="4"/>
      <c r="N1537" s="4"/>
      <c r="O1537" s="4"/>
      <c r="P1537" s="4"/>
      <c r="Q1537" s="4"/>
      <c r="R1537" s="4"/>
      <c r="S1537" s="4"/>
      <c r="T1537" s="4"/>
      <c r="U1537" s="4"/>
      <c r="V1537" s="4"/>
      <c r="W1537" s="4"/>
      <c r="X1537" s="4"/>
      <c r="Y1537" s="4"/>
      <c r="Z1537" s="4"/>
      <c r="AA1537" s="4"/>
      <c r="AB1537" s="5"/>
    </row>
    <row r="1538" spans="1:28" x14ac:dyDescent="0.35">
      <c r="A1538" s="3"/>
      <c r="B1538" s="4"/>
      <c r="C1538" s="4"/>
      <c r="D1538" s="4"/>
      <c r="E1538" s="4"/>
      <c r="F1538" s="4"/>
      <c r="G1538" s="4"/>
      <c r="H1538" s="4"/>
      <c r="I1538" s="4"/>
      <c r="J1538" s="4"/>
      <c r="K1538" s="4"/>
      <c r="L1538" s="4"/>
      <c r="M1538" s="4"/>
      <c r="N1538" s="4"/>
      <c r="O1538" s="4"/>
      <c r="P1538" s="4"/>
      <c r="Q1538" s="4"/>
      <c r="R1538" s="4"/>
      <c r="S1538" s="4"/>
      <c r="T1538" s="4"/>
      <c r="U1538" s="4"/>
      <c r="V1538" s="4"/>
      <c r="W1538" s="4"/>
      <c r="X1538" s="4"/>
      <c r="Y1538" s="4"/>
      <c r="Z1538" s="4"/>
      <c r="AA1538" s="4"/>
      <c r="AB1538" s="5"/>
    </row>
    <row r="1539" spans="1:28" x14ac:dyDescent="0.35">
      <c r="A1539" s="3"/>
      <c r="B1539" s="4"/>
      <c r="C1539" s="4"/>
      <c r="D1539" s="4"/>
      <c r="E1539" s="4"/>
      <c r="F1539" s="4"/>
      <c r="G1539" s="4"/>
      <c r="H1539" s="4"/>
      <c r="I1539" s="4"/>
      <c r="J1539" s="4"/>
      <c r="K1539" s="4"/>
      <c r="L1539" s="4"/>
      <c r="M1539" s="4"/>
      <c r="N1539" s="4"/>
      <c r="O1539" s="4"/>
      <c r="P1539" s="4"/>
      <c r="Q1539" s="4"/>
      <c r="R1539" s="4"/>
      <c r="S1539" s="4"/>
      <c r="T1539" s="4"/>
      <c r="U1539" s="4"/>
      <c r="V1539" s="4"/>
      <c r="W1539" s="4"/>
      <c r="X1539" s="4"/>
      <c r="Y1539" s="4"/>
      <c r="Z1539" s="4"/>
      <c r="AA1539" s="4"/>
      <c r="AB1539" s="5"/>
    </row>
    <row r="1540" spans="1:28" x14ac:dyDescent="0.35">
      <c r="A1540" s="3"/>
      <c r="B1540" s="4"/>
      <c r="C1540" s="4"/>
      <c r="D1540" s="4"/>
      <c r="E1540" s="4"/>
      <c r="F1540" s="4"/>
      <c r="G1540" s="4"/>
      <c r="H1540" s="4"/>
      <c r="I1540" s="4"/>
      <c r="J1540" s="4"/>
      <c r="K1540" s="4"/>
      <c r="L1540" s="4"/>
      <c r="M1540" s="4"/>
      <c r="N1540" s="4"/>
      <c r="O1540" s="4"/>
      <c r="P1540" s="4"/>
      <c r="Q1540" s="4"/>
      <c r="R1540" s="4"/>
      <c r="S1540" s="4"/>
      <c r="T1540" s="4"/>
      <c r="U1540" s="4"/>
      <c r="V1540" s="4"/>
      <c r="W1540" s="4"/>
      <c r="X1540" s="4"/>
      <c r="Y1540" s="4"/>
      <c r="Z1540" s="4"/>
      <c r="AA1540" s="4"/>
      <c r="AB1540" s="5"/>
    </row>
    <row r="1541" spans="1:28" x14ac:dyDescent="0.35">
      <c r="A1541" s="3"/>
      <c r="B1541" s="4"/>
      <c r="C1541" s="4"/>
      <c r="D1541" s="4"/>
      <c r="E1541" s="4"/>
      <c r="F1541" s="4"/>
      <c r="G1541" s="4"/>
      <c r="H1541" s="4"/>
      <c r="I1541" s="4"/>
      <c r="J1541" s="4"/>
      <c r="K1541" s="4"/>
      <c r="L1541" s="4"/>
      <c r="M1541" s="4"/>
      <c r="N1541" s="4"/>
      <c r="O1541" s="4"/>
      <c r="P1541" s="4"/>
      <c r="Q1541" s="4"/>
      <c r="R1541" s="4"/>
      <c r="S1541" s="4"/>
      <c r="T1541" s="4"/>
      <c r="U1541" s="4"/>
      <c r="V1541" s="4"/>
      <c r="W1541" s="4"/>
      <c r="X1541" s="4"/>
      <c r="Y1541" s="4"/>
      <c r="Z1541" s="4"/>
      <c r="AA1541" s="4"/>
      <c r="AB1541" s="5"/>
    </row>
    <row r="1542" spans="1:28" x14ac:dyDescent="0.35">
      <c r="A1542" s="3"/>
      <c r="B1542" s="4"/>
      <c r="C1542" s="4"/>
      <c r="D1542" s="4"/>
      <c r="E1542" s="4"/>
      <c r="F1542" s="4"/>
      <c r="G1542" s="4"/>
      <c r="H1542" s="4"/>
      <c r="I1542" s="4"/>
      <c r="J1542" s="4"/>
      <c r="K1542" s="4"/>
      <c r="L1542" s="4"/>
      <c r="M1542" s="4"/>
      <c r="N1542" s="4"/>
      <c r="O1542" s="4"/>
      <c r="P1542" s="4"/>
      <c r="Q1542" s="4"/>
      <c r="R1542" s="4"/>
      <c r="S1542" s="4"/>
      <c r="T1542" s="4"/>
      <c r="U1542" s="4"/>
      <c r="V1542" s="4"/>
      <c r="W1542" s="4"/>
      <c r="X1542" s="4"/>
      <c r="Y1542" s="4"/>
      <c r="Z1542" s="4"/>
      <c r="AA1542" s="4"/>
      <c r="AB1542" s="5"/>
    </row>
    <row r="1543" spans="1:28" x14ac:dyDescent="0.35">
      <c r="A1543" s="3"/>
      <c r="B1543" s="4"/>
      <c r="C1543" s="4"/>
      <c r="D1543" s="4"/>
      <c r="E1543" s="4"/>
      <c r="F1543" s="4"/>
      <c r="G1543" s="4"/>
      <c r="H1543" s="4"/>
      <c r="I1543" s="4"/>
      <c r="J1543" s="4"/>
      <c r="K1543" s="4"/>
      <c r="L1543" s="4"/>
      <c r="M1543" s="4"/>
      <c r="N1543" s="4"/>
      <c r="O1543" s="4"/>
      <c r="P1543" s="4"/>
      <c r="Q1543" s="4"/>
      <c r="R1543" s="4"/>
      <c r="S1543" s="4"/>
      <c r="T1543" s="4"/>
      <c r="U1543" s="4"/>
      <c r="V1543" s="4"/>
      <c r="W1543" s="4"/>
      <c r="X1543" s="4"/>
      <c r="Y1543" s="4"/>
      <c r="Z1543" s="4"/>
      <c r="AA1543" s="4"/>
      <c r="AB1543" s="5"/>
    </row>
    <row r="1544" spans="1:28" x14ac:dyDescent="0.35">
      <c r="A1544" s="3"/>
      <c r="B1544" s="4"/>
      <c r="C1544" s="4"/>
      <c r="D1544" s="4"/>
      <c r="E1544" s="4"/>
      <c r="F1544" s="4"/>
      <c r="G1544" s="4"/>
      <c r="H1544" s="4"/>
      <c r="I1544" s="4"/>
      <c r="J1544" s="4"/>
      <c r="K1544" s="4"/>
      <c r="L1544" s="4"/>
      <c r="M1544" s="4"/>
      <c r="N1544" s="4"/>
      <c r="O1544" s="4"/>
      <c r="P1544" s="4"/>
      <c r="Q1544" s="4"/>
      <c r="R1544" s="4"/>
      <c r="S1544" s="4"/>
      <c r="T1544" s="4"/>
      <c r="U1544" s="4"/>
      <c r="V1544" s="4"/>
      <c r="W1544" s="4"/>
      <c r="X1544" s="4"/>
      <c r="Y1544" s="4"/>
      <c r="Z1544" s="4"/>
      <c r="AA1544" s="4"/>
      <c r="AB1544" s="5"/>
    </row>
    <row r="1545" spans="1:28" x14ac:dyDescent="0.35">
      <c r="A1545" s="3"/>
      <c r="B1545" s="4"/>
      <c r="C1545" s="4"/>
      <c r="D1545" s="4"/>
      <c r="E1545" s="4"/>
      <c r="F1545" s="4"/>
      <c r="G1545" s="4"/>
      <c r="H1545" s="4"/>
      <c r="I1545" s="4"/>
      <c r="J1545" s="4"/>
      <c r="K1545" s="4"/>
      <c r="L1545" s="4"/>
      <c r="M1545" s="4"/>
      <c r="N1545" s="4"/>
      <c r="O1545" s="4"/>
      <c r="P1545" s="4"/>
      <c r="Q1545" s="4"/>
      <c r="R1545" s="4"/>
      <c r="S1545" s="4"/>
      <c r="T1545" s="4"/>
      <c r="U1545" s="4"/>
      <c r="V1545" s="4"/>
      <c r="W1545" s="4"/>
      <c r="X1545" s="4"/>
      <c r="Y1545" s="4"/>
      <c r="Z1545" s="4"/>
      <c r="AA1545" s="4"/>
      <c r="AB1545" s="5"/>
    </row>
    <row r="1546" spans="1:28" x14ac:dyDescent="0.35">
      <c r="A1546" s="3"/>
      <c r="B1546" s="4"/>
      <c r="C1546" s="4"/>
      <c r="D1546" s="4"/>
      <c r="E1546" s="4"/>
      <c r="F1546" s="4"/>
      <c r="G1546" s="4"/>
      <c r="H1546" s="4"/>
      <c r="I1546" s="4"/>
      <c r="J1546" s="4"/>
      <c r="K1546" s="4"/>
      <c r="L1546" s="4"/>
      <c r="M1546" s="4"/>
      <c r="N1546" s="4"/>
      <c r="O1546" s="4"/>
      <c r="P1546" s="4"/>
      <c r="Q1546" s="4"/>
      <c r="R1546" s="4"/>
      <c r="S1546" s="4"/>
      <c r="T1546" s="4"/>
      <c r="U1546" s="4"/>
      <c r="V1546" s="4"/>
      <c r="W1546" s="4"/>
      <c r="X1546" s="4"/>
      <c r="Y1546" s="4"/>
      <c r="Z1546" s="4"/>
      <c r="AA1546" s="4"/>
      <c r="AB1546" s="5"/>
    </row>
    <row r="1547" spans="1:28" x14ac:dyDescent="0.35">
      <c r="A1547" s="3"/>
      <c r="B1547" s="4"/>
      <c r="C1547" s="4"/>
      <c r="D1547" s="4"/>
      <c r="E1547" s="4"/>
      <c r="F1547" s="4"/>
      <c r="G1547" s="4"/>
      <c r="H1547" s="4"/>
      <c r="I1547" s="4"/>
      <c r="J1547" s="4"/>
      <c r="K1547" s="4"/>
      <c r="L1547" s="4"/>
      <c r="M1547" s="4"/>
      <c r="N1547" s="4"/>
      <c r="O1547" s="4"/>
      <c r="P1547" s="4"/>
      <c r="Q1547" s="4"/>
      <c r="R1547" s="4"/>
      <c r="S1547" s="4"/>
      <c r="T1547" s="4"/>
      <c r="U1547" s="4"/>
      <c r="V1547" s="4"/>
      <c r="W1547" s="4"/>
      <c r="X1547" s="4"/>
      <c r="Y1547" s="4"/>
      <c r="Z1547" s="4"/>
      <c r="AA1547" s="4"/>
      <c r="AB1547" s="5"/>
    </row>
    <row r="1548" spans="1:28" x14ac:dyDescent="0.35">
      <c r="A1548" s="3"/>
      <c r="B1548" s="4"/>
      <c r="C1548" s="4"/>
      <c r="D1548" s="4"/>
      <c r="E1548" s="4"/>
      <c r="F1548" s="4"/>
      <c r="G1548" s="4"/>
      <c r="H1548" s="4"/>
      <c r="I1548" s="4"/>
      <c r="J1548" s="4"/>
      <c r="K1548" s="4"/>
      <c r="L1548" s="4"/>
      <c r="M1548" s="4"/>
      <c r="N1548" s="4"/>
      <c r="O1548" s="4"/>
      <c r="P1548" s="4"/>
      <c r="Q1548" s="4"/>
      <c r="R1548" s="4"/>
      <c r="S1548" s="4"/>
      <c r="T1548" s="4"/>
      <c r="U1548" s="4"/>
      <c r="V1548" s="4"/>
      <c r="W1548" s="4"/>
      <c r="X1548" s="4"/>
      <c r="Y1548" s="4"/>
      <c r="Z1548" s="4"/>
      <c r="AA1548" s="4"/>
      <c r="AB1548" s="5"/>
    </row>
    <row r="1549" spans="1:28" x14ac:dyDescent="0.35">
      <c r="A1549" s="3"/>
      <c r="B1549" s="4"/>
      <c r="C1549" s="4"/>
      <c r="D1549" s="4"/>
      <c r="E1549" s="4"/>
      <c r="F1549" s="4"/>
      <c r="G1549" s="4"/>
      <c r="H1549" s="4"/>
      <c r="I1549" s="4"/>
      <c r="J1549" s="4"/>
      <c r="K1549" s="4"/>
      <c r="L1549" s="4"/>
      <c r="M1549" s="4"/>
      <c r="N1549" s="4"/>
      <c r="O1549" s="4"/>
      <c r="P1549" s="4"/>
      <c r="Q1549" s="4"/>
      <c r="R1549" s="4"/>
      <c r="S1549" s="4"/>
      <c r="T1549" s="4"/>
      <c r="U1549" s="4"/>
      <c r="V1549" s="4"/>
      <c r="W1549" s="4"/>
      <c r="X1549" s="4"/>
      <c r="Y1549" s="4"/>
      <c r="Z1549" s="4"/>
      <c r="AA1549" s="4"/>
      <c r="AB1549" s="5"/>
    </row>
    <row r="1550" spans="1:28" x14ac:dyDescent="0.35">
      <c r="A1550" s="3"/>
      <c r="B1550" s="4"/>
      <c r="C1550" s="4"/>
      <c r="D1550" s="4"/>
      <c r="E1550" s="4"/>
      <c r="F1550" s="4"/>
      <c r="G1550" s="4"/>
      <c r="H1550" s="4"/>
      <c r="I1550" s="4"/>
      <c r="J1550" s="4"/>
      <c r="K1550" s="4"/>
      <c r="L1550" s="4"/>
      <c r="M1550" s="4"/>
      <c r="N1550" s="4"/>
      <c r="O1550" s="4"/>
      <c r="P1550" s="4"/>
      <c r="Q1550" s="4"/>
      <c r="R1550" s="4"/>
      <c r="S1550" s="4"/>
      <c r="T1550" s="4"/>
      <c r="U1550" s="4"/>
      <c r="V1550" s="4"/>
      <c r="W1550" s="4"/>
      <c r="X1550" s="4"/>
      <c r="Y1550" s="4"/>
      <c r="Z1550" s="4"/>
      <c r="AA1550" s="4"/>
      <c r="AB1550" s="5"/>
    </row>
    <row r="1551" spans="1:28" x14ac:dyDescent="0.35">
      <c r="A1551" s="3"/>
      <c r="B1551" s="4"/>
      <c r="C1551" s="4"/>
      <c r="D1551" s="4"/>
      <c r="E1551" s="4"/>
      <c r="F1551" s="4"/>
      <c r="G1551" s="4"/>
      <c r="H1551" s="4"/>
      <c r="I1551" s="4"/>
      <c r="J1551" s="4"/>
      <c r="K1551" s="4"/>
      <c r="L1551" s="4"/>
      <c r="M1551" s="4"/>
      <c r="N1551" s="4"/>
      <c r="O1551" s="4"/>
      <c r="P1551" s="4"/>
      <c r="Q1551" s="4"/>
      <c r="R1551" s="4"/>
      <c r="S1551" s="4"/>
      <c r="T1551" s="4"/>
      <c r="U1551" s="4"/>
      <c r="V1551" s="4"/>
      <c r="W1551" s="4"/>
      <c r="X1551" s="4"/>
      <c r="Y1551" s="4"/>
      <c r="Z1551" s="4"/>
      <c r="AA1551" s="4"/>
      <c r="AB1551" s="5"/>
    </row>
    <row r="1552" spans="1:28" x14ac:dyDescent="0.35">
      <c r="A1552" s="3"/>
      <c r="B1552" s="4"/>
      <c r="C1552" s="4"/>
      <c r="D1552" s="4"/>
      <c r="E1552" s="4"/>
      <c r="F1552" s="4"/>
      <c r="G1552" s="4"/>
      <c r="H1552" s="4"/>
      <c r="I1552" s="4"/>
      <c r="J1552" s="4"/>
      <c r="K1552" s="4"/>
      <c r="L1552" s="4"/>
      <c r="M1552" s="4"/>
      <c r="N1552" s="4"/>
      <c r="O1552" s="4"/>
      <c r="P1552" s="4"/>
      <c r="Q1552" s="4"/>
      <c r="R1552" s="4"/>
      <c r="S1552" s="4"/>
      <c r="T1552" s="4"/>
      <c r="U1552" s="4"/>
      <c r="V1552" s="4"/>
      <c r="W1552" s="4"/>
      <c r="X1552" s="4"/>
      <c r="Y1552" s="4"/>
      <c r="Z1552" s="4"/>
      <c r="AA1552" s="4"/>
      <c r="AB1552" s="5"/>
    </row>
    <row r="1553" spans="1:28" x14ac:dyDescent="0.35">
      <c r="A1553" s="3"/>
      <c r="B1553" s="4"/>
      <c r="C1553" s="4"/>
      <c r="D1553" s="4"/>
      <c r="E1553" s="4"/>
      <c r="F1553" s="4"/>
      <c r="G1553" s="4"/>
      <c r="H1553" s="4"/>
      <c r="I1553" s="4"/>
      <c r="J1553" s="4"/>
      <c r="K1553" s="4"/>
      <c r="L1553" s="4"/>
      <c r="M1553" s="4"/>
      <c r="N1553" s="4"/>
      <c r="O1553" s="4"/>
      <c r="P1553" s="4"/>
      <c r="Q1553" s="4"/>
      <c r="R1553" s="4"/>
      <c r="S1553" s="4"/>
      <c r="T1553" s="4"/>
      <c r="U1553" s="4"/>
      <c r="V1553" s="4"/>
      <c r="W1553" s="4"/>
      <c r="X1553" s="4"/>
      <c r="Y1553" s="4"/>
      <c r="Z1553" s="4"/>
      <c r="AA1553" s="4"/>
      <c r="AB1553" s="5"/>
    </row>
    <row r="1554" spans="1:28" x14ac:dyDescent="0.35">
      <c r="A1554" s="3"/>
      <c r="B1554" s="4"/>
      <c r="C1554" s="4"/>
      <c r="D1554" s="4"/>
      <c r="E1554" s="4"/>
      <c r="F1554" s="4"/>
      <c r="G1554" s="4"/>
      <c r="H1554" s="4"/>
      <c r="I1554" s="4"/>
      <c r="J1554" s="4"/>
      <c r="K1554" s="4"/>
      <c r="L1554" s="4"/>
      <c r="M1554" s="4"/>
      <c r="N1554" s="4"/>
      <c r="O1554" s="4"/>
      <c r="P1554" s="4"/>
      <c r="Q1554" s="4"/>
      <c r="R1554" s="4"/>
      <c r="S1554" s="4"/>
      <c r="T1554" s="4"/>
      <c r="U1554" s="4"/>
      <c r="V1554" s="4"/>
      <c r="W1554" s="4"/>
      <c r="X1554" s="4"/>
      <c r="Y1554" s="4"/>
      <c r="Z1554" s="4"/>
      <c r="AA1554" s="4"/>
      <c r="AB1554" s="5"/>
    </row>
    <row r="1555" spans="1:28" x14ac:dyDescent="0.35">
      <c r="A1555" s="3"/>
      <c r="B1555" s="4"/>
      <c r="C1555" s="4"/>
      <c r="D1555" s="4"/>
      <c r="E1555" s="4"/>
      <c r="F1555" s="4"/>
      <c r="G1555" s="4"/>
      <c r="H1555" s="4"/>
      <c r="I1555" s="4"/>
      <c r="J1555" s="4"/>
      <c r="K1555" s="4"/>
      <c r="L1555" s="4"/>
      <c r="M1555" s="4"/>
      <c r="N1555" s="4"/>
      <c r="O1555" s="4"/>
      <c r="P1555" s="4"/>
      <c r="Q1555" s="4"/>
      <c r="R1555" s="4"/>
      <c r="S1555" s="4"/>
      <c r="T1555" s="4"/>
      <c r="U1555" s="4"/>
      <c r="V1555" s="4"/>
      <c r="W1555" s="4"/>
      <c r="X1555" s="4"/>
      <c r="Y1555" s="4"/>
      <c r="Z1555" s="4"/>
      <c r="AA1555" s="4"/>
      <c r="AB1555" s="5"/>
    </row>
    <row r="1556" spans="1:28" x14ac:dyDescent="0.35">
      <c r="A1556" s="3"/>
      <c r="B1556" s="4"/>
      <c r="C1556" s="4"/>
      <c r="D1556" s="4"/>
      <c r="E1556" s="4"/>
      <c r="F1556" s="4"/>
      <c r="G1556" s="4"/>
      <c r="H1556" s="4"/>
      <c r="I1556" s="4"/>
      <c r="J1556" s="4"/>
      <c r="K1556" s="4"/>
      <c r="L1556" s="4"/>
      <c r="M1556" s="4"/>
      <c r="N1556" s="4"/>
      <c r="O1556" s="4"/>
      <c r="P1556" s="4"/>
      <c r="Q1556" s="4"/>
      <c r="R1556" s="4"/>
      <c r="S1556" s="4"/>
      <c r="T1556" s="4"/>
      <c r="U1556" s="4"/>
      <c r="V1556" s="4"/>
      <c r="W1556" s="4"/>
      <c r="X1556" s="4"/>
      <c r="Y1556" s="4"/>
      <c r="Z1556" s="4"/>
      <c r="AA1556" s="4"/>
      <c r="AB1556" s="5"/>
    </row>
    <row r="1557" spans="1:28" x14ac:dyDescent="0.35">
      <c r="A1557" s="3"/>
      <c r="B1557" s="4"/>
      <c r="C1557" s="4"/>
      <c r="D1557" s="4"/>
      <c r="E1557" s="4"/>
      <c r="F1557" s="4"/>
      <c r="G1557" s="4"/>
      <c r="H1557" s="4"/>
      <c r="I1557" s="4"/>
      <c r="J1557" s="4"/>
      <c r="K1557" s="4"/>
      <c r="L1557" s="4"/>
      <c r="M1557" s="4"/>
      <c r="N1557" s="4"/>
      <c r="O1557" s="4"/>
      <c r="P1557" s="4"/>
      <c r="Q1557" s="4"/>
      <c r="R1557" s="4"/>
      <c r="S1557" s="4"/>
      <c r="T1557" s="4"/>
      <c r="U1557" s="4"/>
      <c r="V1557" s="4"/>
      <c r="W1557" s="4"/>
      <c r="X1557" s="4"/>
      <c r="Y1557" s="4"/>
      <c r="Z1557" s="4"/>
      <c r="AA1557" s="4"/>
      <c r="AB1557" s="5"/>
    </row>
    <row r="1558" spans="1:28" x14ac:dyDescent="0.35">
      <c r="A1558" s="3"/>
      <c r="B1558" s="4"/>
      <c r="C1558" s="4"/>
      <c r="D1558" s="4"/>
      <c r="E1558" s="4"/>
      <c r="F1558" s="4"/>
      <c r="G1558" s="4"/>
      <c r="H1558" s="4"/>
      <c r="I1558" s="4"/>
      <c r="J1558" s="4"/>
      <c r="K1558" s="4"/>
      <c r="L1558" s="4"/>
      <c r="M1558" s="4"/>
      <c r="N1558" s="4"/>
      <c r="O1558" s="4"/>
      <c r="P1558" s="4"/>
      <c r="Q1558" s="4"/>
      <c r="R1558" s="4"/>
      <c r="S1558" s="4"/>
      <c r="T1558" s="4"/>
      <c r="U1558" s="4"/>
      <c r="V1558" s="4"/>
      <c r="W1558" s="4"/>
      <c r="X1558" s="4"/>
      <c r="Y1558" s="4"/>
      <c r="Z1558" s="4"/>
      <c r="AA1558" s="4"/>
      <c r="AB1558" s="5"/>
    </row>
    <row r="1559" spans="1:28" x14ac:dyDescent="0.35">
      <c r="A1559" s="3"/>
      <c r="B1559" s="4"/>
      <c r="C1559" s="4"/>
      <c r="D1559" s="4"/>
      <c r="E1559" s="4"/>
      <c r="F1559" s="4"/>
      <c r="G1559" s="4"/>
      <c r="H1559" s="4"/>
      <c r="I1559" s="4"/>
      <c r="J1559" s="4"/>
      <c r="K1559" s="4"/>
      <c r="L1559" s="4"/>
      <c r="M1559" s="4"/>
      <c r="N1559" s="4"/>
      <c r="O1559" s="4"/>
      <c r="P1559" s="4"/>
      <c r="Q1559" s="4"/>
      <c r="R1559" s="4"/>
      <c r="S1559" s="4"/>
      <c r="T1559" s="4"/>
      <c r="U1559" s="4"/>
      <c r="V1559" s="4"/>
      <c r="W1559" s="4"/>
      <c r="X1559" s="4"/>
      <c r="Y1559" s="4"/>
      <c r="Z1559" s="4"/>
      <c r="AA1559" s="4"/>
      <c r="AB1559" s="5"/>
    </row>
    <row r="1560" spans="1:28" x14ac:dyDescent="0.35">
      <c r="A1560" s="3"/>
      <c r="B1560" s="4"/>
      <c r="C1560" s="4"/>
      <c r="D1560" s="4"/>
      <c r="E1560" s="4"/>
      <c r="F1560" s="4"/>
      <c r="G1560" s="4"/>
      <c r="H1560" s="4"/>
      <c r="I1560" s="4"/>
      <c r="J1560" s="4"/>
      <c r="K1560" s="4"/>
      <c r="L1560" s="4"/>
      <c r="M1560" s="4"/>
      <c r="N1560" s="4"/>
      <c r="O1560" s="4"/>
      <c r="P1560" s="4"/>
      <c r="Q1560" s="4"/>
      <c r="R1560" s="4"/>
      <c r="S1560" s="4"/>
      <c r="T1560" s="4"/>
      <c r="U1560" s="4"/>
      <c r="V1560" s="4"/>
      <c r="W1560" s="4"/>
      <c r="X1560" s="4"/>
      <c r="Y1560" s="4"/>
      <c r="Z1560" s="4"/>
      <c r="AA1560" s="4"/>
      <c r="AB1560" s="5"/>
    </row>
    <row r="1561" spans="1:28" x14ac:dyDescent="0.35">
      <c r="A1561" s="3"/>
      <c r="B1561" s="4"/>
      <c r="C1561" s="4"/>
      <c r="D1561" s="4"/>
      <c r="E1561" s="4"/>
      <c r="F1561" s="4"/>
      <c r="G1561" s="4"/>
      <c r="H1561" s="4"/>
      <c r="I1561" s="4"/>
      <c r="J1561" s="4"/>
      <c r="K1561" s="4"/>
      <c r="L1561" s="4"/>
      <c r="M1561" s="4"/>
      <c r="N1561" s="4"/>
      <c r="O1561" s="4"/>
      <c r="P1561" s="4"/>
      <c r="Q1561" s="4"/>
      <c r="R1561" s="4"/>
      <c r="S1561" s="4"/>
      <c r="T1561" s="4"/>
      <c r="U1561" s="4"/>
      <c r="V1561" s="4"/>
      <c r="W1561" s="4"/>
      <c r="X1561" s="4"/>
      <c r="Y1561" s="4"/>
      <c r="Z1561" s="4"/>
      <c r="AA1561" s="4"/>
      <c r="AB1561" s="5"/>
    </row>
    <row r="1562" spans="1:28" x14ac:dyDescent="0.35">
      <c r="A1562" s="3"/>
      <c r="B1562" s="4"/>
      <c r="C1562" s="4"/>
      <c r="D1562" s="4"/>
      <c r="E1562" s="4"/>
      <c r="F1562" s="4"/>
      <c r="G1562" s="4"/>
      <c r="H1562" s="4"/>
      <c r="I1562" s="4"/>
      <c r="J1562" s="4"/>
      <c r="K1562" s="4"/>
      <c r="L1562" s="4"/>
      <c r="M1562" s="4"/>
      <c r="N1562" s="4"/>
      <c r="O1562" s="4"/>
      <c r="P1562" s="4"/>
      <c r="Q1562" s="4"/>
      <c r="R1562" s="4"/>
      <c r="S1562" s="4"/>
      <c r="T1562" s="4"/>
      <c r="U1562" s="4"/>
      <c r="V1562" s="4"/>
      <c r="W1562" s="4"/>
      <c r="X1562" s="4"/>
      <c r="Y1562" s="4"/>
      <c r="Z1562" s="4"/>
      <c r="AA1562" s="4"/>
      <c r="AB1562" s="5"/>
    </row>
    <row r="1563" spans="1:28" x14ac:dyDescent="0.35">
      <c r="A1563" s="3"/>
      <c r="B1563" s="4"/>
      <c r="C1563" s="4"/>
      <c r="D1563" s="4"/>
      <c r="E1563" s="4"/>
      <c r="F1563" s="4"/>
      <c r="G1563" s="4"/>
      <c r="H1563" s="4"/>
      <c r="I1563" s="4"/>
      <c r="J1563" s="4"/>
      <c r="K1563" s="4"/>
      <c r="L1563" s="4"/>
      <c r="M1563" s="4"/>
      <c r="N1563" s="4"/>
      <c r="O1563" s="4"/>
      <c r="P1563" s="4"/>
      <c r="Q1563" s="4"/>
      <c r="R1563" s="4"/>
      <c r="S1563" s="4"/>
      <c r="T1563" s="4"/>
      <c r="U1563" s="4"/>
      <c r="V1563" s="4"/>
      <c r="W1563" s="4"/>
      <c r="X1563" s="4"/>
      <c r="Y1563" s="4"/>
      <c r="Z1563" s="4"/>
      <c r="AA1563" s="4"/>
      <c r="AB1563" s="5"/>
    </row>
    <row r="1564" spans="1:28" x14ac:dyDescent="0.35">
      <c r="A1564" s="3"/>
      <c r="B1564" s="4"/>
      <c r="C1564" s="4"/>
      <c r="D1564" s="4"/>
      <c r="E1564" s="4"/>
      <c r="F1564" s="4"/>
      <c r="G1564" s="4"/>
      <c r="H1564" s="4"/>
      <c r="I1564" s="4"/>
      <c r="J1564" s="4"/>
      <c r="K1564" s="4"/>
      <c r="L1564" s="4"/>
      <c r="M1564" s="4"/>
      <c r="N1564" s="4"/>
      <c r="O1564" s="4"/>
      <c r="P1564" s="4"/>
      <c r="Q1564" s="4"/>
      <c r="R1564" s="4"/>
      <c r="S1564" s="4"/>
      <c r="T1564" s="4"/>
      <c r="U1564" s="4"/>
      <c r="V1564" s="4"/>
      <c r="W1564" s="4"/>
      <c r="X1564" s="4"/>
      <c r="Y1564" s="4"/>
      <c r="Z1564" s="4"/>
      <c r="AA1564" s="4"/>
      <c r="AB1564" s="5"/>
    </row>
    <row r="1565" spans="1:28" x14ac:dyDescent="0.35">
      <c r="A1565" s="3"/>
      <c r="B1565" s="4"/>
      <c r="C1565" s="4"/>
      <c r="D1565" s="4"/>
      <c r="E1565" s="4"/>
      <c r="F1565" s="4"/>
      <c r="G1565" s="4"/>
      <c r="H1565" s="4"/>
      <c r="I1565" s="4"/>
      <c r="J1565" s="4"/>
      <c r="K1565" s="4"/>
      <c r="L1565" s="4"/>
      <c r="M1565" s="4"/>
      <c r="N1565" s="4"/>
      <c r="O1565" s="4"/>
      <c r="P1565" s="4"/>
      <c r="Q1565" s="4"/>
      <c r="R1565" s="4"/>
      <c r="S1565" s="4"/>
      <c r="T1565" s="4"/>
      <c r="U1565" s="4"/>
      <c r="V1565" s="4"/>
      <c r="W1565" s="4"/>
      <c r="X1565" s="4"/>
      <c r="Y1565" s="4"/>
      <c r="Z1565" s="4"/>
      <c r="AA1565" s="4"/>
      <c r="AB1565" s="5"/>
    </row>
    <row r="1566" spans="1:28" x14ac:dyDescent="0.35">
      <c r="A1566" s="3"/>
      <c r="B1566" s="4"/>
      <c r="C1566" s="4"/>
      <c r="D1566" s="4"/>
      <c r="E1566" s="4"/>
      <c r="F1566" s="4"/>
      <c r="G1566" s="4"/>
      <c r="H1566" s="4"/>
      <c r="I1566" s="4"/>
      <c r="J1566" s="4"/>
      <c r="K1566" s="4"/>
      <c r="L1566" s="4"/>
      <c r="M1566" s="4"/>
      <c r="N1566" s="4"/>
      <c r="O1566" s="4"/>
      <c r="P1566" s="4"/>
      <c r="Q1566" s="4"/>
      <c r="R1566" s="4"/>
      <c r="S1566" s="4"/>
      <c r="T1566" s="4"/>
      <c r="U1566" s="4"/>
      <c r="V1566" s="4"/>
      <c r="W1566" s="4"/>
      <c r="X1566" s="4"/>
      <c r="Y1566" s="4"/>
      <c r="Z1566" s="4"/>
      <c r="AA1566" s="4"/>
      <c r="AB1566" s="5"/>
    </row>
    <row r="1567" spans="1:28" x14ac:dyDescent="0.35">
      <c r="A1567" s="3"/>
      <c r="B1567" s="4"/>
      <c r="C1567" s="4"/>
      <c r="D1567" s="4"/>
      <c r="E1567" s="4"/>
      <c r="F1567" s="4"/>
      <c r="G1567" s="4"/>
      <c r="H1567" s="4"/>
      <c r="I1567" s="4"/>
      <c r="J1567" s="4"/>
      <c r="K1567" s="4"/>
      <c r="L1567" s="4"/>
      <c r="M1567" s="4"/>
      <c r="N1567" s="4"/>
      <c r="O1567" s="4"/>
      <c r="P1567" s="4"/>
      <c r="Q1567" s="4"/>
      <c r="R1567" s="4"/>
      <c r="S1567" s="4"/>
      <c r="T1567" s="4"/>
      <c r="U1567" s="4"/>
      <c r="V1567" s="4"/>
      <c r="W1567" s="4"/>
      <c r="X1567" s="4"/>
      <c r="Y1567" s="4"/>
      <c r="Z1567" s="4"/>
      <c r="AA1567" s="4"/>
      <c r="AB1567" s="5"/>
    </row>
    <row r="1568" spans="1:28" x14ac:dyDescent="0.35">
      <c r="A1568" s="3"/>
      <c r="B1568" s="4"/>
      <c r="C1568" s="4"/>
      <c r="D1568" s="4"/>
      <c r="E1568" s="4"/>
      <c r="F1568" s="4"/>
      <c r="G1568" s="4"/>
      <c r="H1568" s="4"/>
      <c r="I1568" s="4"/>
      <c r="J1568" s="4"/>
      <c r="K1568" s="4"/>
      <c r="L1568" s="4"/>
      <c r="M1568" s="4"/>
      <c r="N1568" s="4"/>
      <c r="O1568" s="4"/>
      <c r="P1568" s="4"/>
      <c r="Q1568" s="4"/>
      <c r="R1568" s="4"/>
      <c r="S1568" s="4"/>
      <c r="T1568" s="4"/>
      <c r="U1568" s="4"/>
      <c r="V1568" s="4"/>
      <c r="W1568" s="4"/>
      <c r="X1568" s="4"/>
      <c r="Y1568" s="4"/>
      <c r="Z1568" s="4"/>
      <c r="AA1568" s="4"/>
      <c r="AB1568" s="5"/>
    </row>
    <row r="1569" spans="1:28" x14ac:dyDescent="0.35">
      <c r="A1569" s="3"/>
      <c r="B1569" s="4"/>
      <c r="C1569" s="4"/>
      <c r="D1569" s="4"/>
      <c r="E1569" s="4"/>
      <c r="F1569" s="4"/>
      <c r="G1569" s="4"/>
      <c r="H1569" s="4"/>
      <c r="I1569" s="4"/>
      <c r="J1569" s="4"/>
      <c r="K1569" s="4"/>
      <c r="L1569" s="4"/>
      <c r="M1569" s="4"/>
      <c r="N1569" s="4"/>
      <c r="O1569" s="4"/>
      <c r="P1569" s="4"/>
      <c r="Q1569" s="4"/>
      <c r="R1569" s="4"/>
      <c r="S1569" s="4"/>
      <c r="T1569" s="4"/>
      <c r="U1569" s="4"/>
      <c r="V1569" s="4"/>
      <c r="W1569" s="4"/>
      <c r="X1569" s="4"/>
      <c r="Y1569" s="4"/>
      <c r="Z1569" s="4"/>
      <c r="AA1569" s="4"/>
      <c r="AB1569" s="5"/>
    </row>
    <row r="1570" spans="1:28" x14ac:dyDescent="0.35">
      <c r="A1570" s="3"/>
      <c r="B1570" s="4"/>
      <c r="C1570" s="4"/>
      <c r="D1570" s="4"/>
      <c r="E1570" s="4"/>
      <c r="F1570" s="4"/>
      <c r="G1570" s="4"/>
      <c r="H1570" s="4"/>
      <c r="I1570" s="4"/>
      <c r="J1570" s="4"/>
      <c r="K1570" s="4"/>
      <c r="L1570" s="4"/>
      <c r="M1570" s="4"/>
      <c r="N1570" s="4"/>
      <c r="O1570" s="4"/>
      <c r="P1570" s="4"/>
      <c r="Q1570" s="4"/>
      <c r="R1570" s="4"/>
      <c r="S1570" s="4"/>
      <c r="T1570" s="4"/>
      <c r="U1570" s="4"/>
      <c r="V1570" s="4"/>
      <c r="W1570" s="4"/>
      <c r="X1570" s="4"/>
      <c r="Y1570" s="4"/>
      <c r="Z1570" s="4"/>
      <c r="AA1570" s="4"/>
      <c r="AB1570" s="5"/>
    </row>
    <row r="1571" spans="1:28" x14ac:dyDescent="0.35">
      <c r="A1571" s="3"/>
      <c r="B1571" s="4"/>
      <c r="C1571" s="4"/>
      <c r="D1571" s="4"/>
      <c r="E1571" s="4"/>
      <c r="F1571" s="4"/>
      <c r="G1571" s="4"/>
      <c r="H1571" s="4"/>
      <c r="I1571" s="4"/>
      <c r="J1571" s="4"/>
      <c r="K1571" s="4"/>
      <c r="L1571" s="4"/>
      <c r="M1571" s="4"/>
      <c r="N1571" s="4"/>
      <c r="O1571" s="4"/>
      <c r="P1571" s="4"/>
      <c r="Q1571" s="4"/>
      <c r="R1571" s="4"/>
      <c r="S1571" s="4"/>
      <c r="T1571" s="4"/>
      <c r="U1571" s="4"/>
      <c r="V1571" s="4"/>
      <c r="W1571" s="4"/>
      <c r="X1571" s="4"/>
      <c r="Y1571" s="4"/>
      <c r="Z1571" s="4"/>
      <c r="AA1571" s="4"/>
      <c r="AB1571" s="5"/>
    </row>
    <row r="1572" spans="1:28" x14ac:dyDescent="0.35">
      <c r="A1572" s="3"/>
      <c r="B1572" s="4"/>
      <c r="C1572" s="4"/>
      <c r="D1572" s="4"/>
      <c r="E1572" s="4"/>
      <c r="F1572" s="4"/>
      <c r="G1572" s="4"/>
      <c r="H1572" s="4"/>
      <c r="I1572" s="4"/>
      <c r="J1572" s="4"/>
      <c r="K1572" s="4"/>
      <c r="L1572" s="4"/>
      <c r="M1572" s="4"/>
      <c r="N1572" s="4"/>
      <c r="O1572" s="4"/>
      <c r="P1572" s="4"/>
      <c r="Q1572" s="4"/>
      <c r="R1572" s="4"/>
      <c r="S1572" s="4"/>
      <c r="T1572" s="4"/>
      <c r="U1572" s="4"/>
      <c r="V1572" s="4"/>
      <c r="W1572" s="4"/>
      <c r="X1572" s="4"/>
      <c r="Y1572" s="4"/>
      <c r="Z1572" s="4"/>
      <c r="AA1572" s="4"/>
      <c r="AB1572" s="5"/>
    </row>
    <row r="1573" spans="1:28" x14ac:dyDescent="0.35">
      <c r="A1573" s="3"/>
      <c r="B1573" s="4"/>
      <c r="C1573" s="4"/>
      <c r="D1573" s="4"/>
      <c r="E1573" s="4"/>
      <c r="F1573" s="4"/>
      <c r="G1573" s="4"/>
      <c r="H1573" s="4"/>
      <c r="I1573" s="4"/>
      <c r="J1573" s="4"/>
      <c r="K1573" s="4"/>
      <c r="L1573" s="4"/>
      <c r="M1573" s="4"/>
      <c r="N1573" s="4"/>
      <c r="O1573" s="4"/>
      <c r="P1573" s="4"/>
      <c r="Q1573" s="4"/>
      <c r="R1573" s="4"/>
      <c r="S1573" s="4"/>
      <c r="T1573" s="4"/>
      <c r="U1573" s="4"/>
      <c r="V1573" s="4"/>
      <c r="W1573" s="4"/>
      <c r="X1573" s="4"/>
      <c r="Y1573" s="4"/>
      <c r="Z1573" s="4"/>
      <c r="AA1573" s="4"/>
      <c r="AB1573" s="5"/>
    </row>
    <row r="1574" spans="1:28" x14ac:dyDescent="0.35">
      <c r="A1574" s="3"/>
      <c r="B1574" s="4"/>
      <c r="C1574" s="4"/>
      <c r="D1574" s="4"/>
      <c r="E1574" s="4"/>
      <c r="F1574" s="4"/>
      <c r="G1574" s="4"/>
      <c r="H1574" s="4"/>
      <c r="I1574" s="4"/>
      <c r="J1574" s="4"/>
      <c r="K1574" s="4"/>
      <c r="L1574" s="4"/>
      <c r="M1574" s="4"/>
      <c r="N1574" s="4"/>
      <c r="O1574" s="4"/>
      <c r="P1574" s="4"/>
      <c r="Q1574" s="4"/>
      <c r="R1574" s="4"/>
      <c r="S1574" s="4"/>
      <c r="T1574" s="4"/>
      <c r="U1574" s="4"/>
      <c r="V1574" s="4"/>
      <c r="W1574" s="4"/>
      <c r="X1574" s="4"/>
      <c r="Y1574" s="4"/>
      <c r="Z1574" s="4"/>
      <c r="AA1574" s="4"/>
      <c r="AB1574" s="5"/>
    </row>
    <row r="1575" spans="1:28" x14ac:dyDescent="0.35">
      <c r="A1575" s="3"/>
      <c r="B1575" s="4"/>
      <c r="C1575" s="4"/>
      <c r="D1575" s="4"/>
      <c r="E1575" s="4"/>
      <c r="F1575" s="4"/>
      <c r="G1575" s="4"/>
      <c r="H1575" s="4"/>
      <c r="I1575" s="4"/>
      <c r="J1575" s="4"/>
      <c r="K1575" s="4"/>
      <c r="L1575" s="4"/>
      <c r="M1575" s="4"/>
      <c r="N1575" s="4"/>
      <c r="O1575" s="4"/>
      <c r="P1575" s="4"/>
      <c r="Q1575" s="4"/>
      <c r="R1575" s="4"/>
      <c r="S1575" s="4"/>
      <c r="T1575" s="4"/>
      <c r="U1575" s="4"/>
      <c r="V1575" s="4"/>
      <c r="W1575" s="4"/>
      <c r="X1575" s="4"/>
      <c r="Y1575" s="4"/>
      <c r="Z1575" s="4"/>
      <c r="AA1575" s="4"/>
      <c r="AB1575" s="5"/>
    </row>
    <row r="1576" spans="1:28" x14ac:dyDescent="0.35">
      <c r="A1576" s="3"/>
      <c r="B1576" s="4"/>
      <c r="C1576" s="4"/>
      <c r="D1576" s="4"/>
      <c r="E1576" s="4"/>
      <c r="F1576" s="4"/>
      <c r="G1576" s="4"/>
      <c r="H1576" s="4"/>
      <c r="I1576" s="4"/>
      <c r="J1576" s="4"/>
      <c r="K1576" s="4"/>
      <c r="L1576" s="4"/>
      <c r="M1576" s="4"/>
      <c r="N1576" s="4"/>
      <c r="O1576" s="4"/>
      <c r="P1576" s="4"/>
      <c r="Q1576" s="4"/>
      <c r="R1576" s="4"/>
      <c r="S1576" s="4"/>
      <c r="T1576" s="4"/>
      <c r="U1576" s="4"/>
      <c r="V1576" s="4"/>
      <c r="W1576" s="4"/>
      <c r="X1576" s="4"/>
      <c r="Y1576" s="4"/>
      <c r="Z1576" s="4"/>
      <c r="AA1576" s="4"/>
      <c r="AB1576" s="5"/>
    </row>
    <row r="1577" spans="1:28" x14ac:dyDescent="0.35">
      <c r="A1577" s="3"/>
      <c r="B1577" s="4"/>
      <c r="C1577" s="4"/>
      <c r="D1577" s="4"/>
      <c r="E1577" s="4"/>
      <c r="F1577" s="4"/>
      <c r="G1577" s="4"/>
      <c r="H1577" s="4"/>
      <c r="I1577" s="4"/>
      <c r="J1577" s="4"/>
      <c r="K1577" s="4"/>
      <c r="L1577" s="4"/>
      <c r="M1577" s="4"/>
      <c r="N1577" s="4"/>
      <c r="O1577" s="4"/>
      <c r="P1577" s="4"/>
      <c r="Q1577" s="4"/>
      <c r="R1577" s="4"/>
      <c r="S1577" s="4"/>
      <c r="T1577" s="4"/>
      <c r="U1577" s="4"/>
      <c r="V1577" s="4"/>
      <c r="W1577" s="4"/>
      <c r="X1577" s="4"/>
      <c r="Y1577" s="4"/>
      <c r="Z1577" s="4"/>
      <c r="AA1577" s="4"/>
      <c r="AB1577" s="5"/>
    </row>
    <row r="1578" spans="1:28" x14ac:dyDescent="0.35">
      <c r="A1578" s="3"/>
      <c r="B1578" s="4"/>
      <c r="C1578" s="4"/>
      <c r="D1578" s="4"/>
      <c r="E1578" s="4"/>
      <c r="F1578" s="4"/>
      <c r="G1578" s="4"/>
      <c r="H1578" s="4"/>
      <c r="I1578" s="4"/>
      <c r="J1578" s="4"/>
      <c r="K1578" s="4"/>
      <c r="L1578" s="4"/>
      <c r="M1578" s="4"/>
      <c r="N1578" s="4"/>
      <c r="O1578" s="4"/>
      <c r="P1578" s="4"/>
      <c r="Q1578" s="4"/>
      <c r="R1578" s="4"/>
      <c r="S1578" s="4"/>
      <c r="T1578" s="4"/>
      <c r="U1578" s="4"/>
      <c r="V1578" s="4"/>
      <c r="W1578" s="4"/>
      <c r="X1578" s="4"/>
      <c r="Y1578" s="4"/>
      <c r="Z1578" s="4"/>
      <c r="AA1578" s="4"/>
      <c r="AB1578" s="5"/>
    </row>
    <row r="1579" spans="1:28" x14ac:dyDescent="0.35">
      <c r="A1579" s="3"/>
      <c r="B1579" s="4"/>
      <c r="C1579" s="4"/>
      <c r="D1579" s="4"/>
      <c r="E1579" s="4"/>
      <c r="F1579" s="4"/>
      <c r="G1579" s="4"/>
      <c r="H1579" s="4"/>
      <c r="I1579" s="4"/>
      <c r="J1579" s="4"/>
      <c r="K1579" s="4"/>
      <c r="L1579" s="4"/>
      <c r="M1579" s="4"/>
      <c r="N1579" s="4"/>
      <c r="O1579" s="4"/>
      <c r="P1579" s="4"/>
      <c r="Q1579" s="4"/>
      <c r="R1579" s="4"/>
      <c r="S1579" s="4"/>
      <c r="T1579" s="4"/>
      <c r="U1579" s="4"/>
      <c r="V1579" s="4"/>
      <c r="W1579" s="4"/>
      <c r="X1579" s="4"/>
      <c r="Y1579" s="4"/>
      <c r="Z1579" s="4"/>
      <c r="AA1579" s="4"/>
      <c r="AB1579" s="5"/>
    </row>
    <row r="1580" spans="1:28" x14ac:dyDescent="0.35">
      <c r="A1580" s="3"/>
      <c r="B1580" s="4"/>
      <c r="C1580" s="4"/>
      <c r="D1580" s="4"/>
      <c r="E1580" s="4"/>
      <c r="F1580" s="4"/>
      <c r="G1580" s="4"/>
      <c r="H1580" s="4"/>
      <c r="I1580" s="4"/>
      <c r="J1580" s="4"/>
      <c r="K1580" s="4"/>
      <c r="L1580" s="4"/>
      <c r="M1580" s="4"/>
      <c r="N1580" s="4"/>
      <c r="O1580" s="4"/>
      <c r="P1580" s="4"/>
      <c r="Q1580" s="4"/>
      <c r="R1580" s="4"/>
      <c r="S1580" s="4"/>
      <c r="T1580" s="4"/>
      <c r="U1580" s="4"/>
      <c r="V1580" s="4"/>
      <c r="W1580" s="4"/>
      <c r="X1580" s="4"/>
      <c r="Y1580" s="4"/>
      <c r="Z1580" s="4"/>
      <c r="AA1580" s="4"/>
      <c r="AB1580" s="5"/>
    </row>
    <row r="1581" spans="1:28" x14ac:dyDescent="0.35">
      <c r="A1581" s="3"/>
      <c r="B1581" s="4"/>
      <c r="C1581" s="4"/>
      <c r="D1581" s="4"/>
      <c r="E1581" s="4"/>
      <c r="F1581" s="4"/>
      <c r="G1581" s="4"/>
      <c r="H1581" s="4"/>
      <c r="I1581" s="4"/>
      <c r="J1581" s="4"/>
      <c r="K1581" s="4"/>
      <c r="L1581" s="4"/>
      <c r="M1581" s="4"/>
      <c r="N1581" s="4"/>
      <c r="O1581" s="4"/>
      <c r="P1581" s="4"/>
      <c r="Q1581" s="4"/>
      <c r="R1581" s="4"/>
      <c r="S1581" s="4"/>
      <c r="T1581" s="4"/>
      <c r="U1581" s="4"/>
      <c r="V1581" s="4"/>
      <c r="W1581" s="4"/>
      <c r="X1581" s="4"/>
      <c r="Y1581" s="4"/>
      <c r="Z1581" s="4"/>
      <c r="AA1581" s="4"/>
      <c r="AB1581" s="5"/>
    </row>
    <row r="1582" spans="1:28" x14ac:dyDescent="0.35">
      <c r="A1582" s="3"/>
      <c r="B1582" s="4"/>
      <c r="C1582" s="4"/>
      <c r="D1582" s="4"/>
      <c r="E1582" s="4"/>
      <c r="F1582" s="4"/>
      <c r="G1582" s="4"/>
      <c r="H1582" s="4"/>
      <c r="I1582" s="4"/>
      <c r="J1582" s="4"/>
      <c r="K1582" s="4"/>
      <c r="L1582" s="4"/>
      <c r="M1582" s="4"/>
      <c r="N1582" s="4"/>
      <c r="O1582" s="4"/>
      <c r="P1582" s="4"/>
      <c r="Q1582" s="4"/>
      <c r="R1582" s="4"/>
      <c r="S1582" s="4"/>
      <c r="T1582" s="4"/>
      <c r="U1582" s="4"/>
      <c r="V1582" s="4"/>
      <c r="W1582" s="4"/>
      <c r="X1582" s="4"/>
      <c r="Y1582" s="4"/>
      <c r="Z1582" s="4"/>
      <c r="AA1582" s="4"/>
      <c r="AB1582" s="5"/>
    </row>
    <row r="1583" spans="1:28" x14ac:dyDescent="0.35">
      <c r="A1583" s="3"/>
      <c r="B1583" s="4"/>
      <c r="C1583" s="4"/>
      <c r="D1583" s="4"/>
      <c r="E1583" s="4"/>
      <c r="F1583" s="4"/>
      <c r="G1583" s="4"/>
      <c r="H1583" s="4"/>
      <c r="I1583" s="4"/>
      <c r="J1583" s="4"/>
      <c r="K1583" s="4"/>
      <c r="L1583" s="4"/>
      <c r="M1583" s="4"/>
      <c r="N1583" s="4"/>
      <c r="O1583" s="4"/>
      <c r="P1583" s="4"/>
      <c r="Q1583" s="4"/>
      <c r="R1583" s="4"/>
      <c r="S1583" s="4"/>
      <c r="T1583" s="4"/>
      <c r="U1583" s="4"/>
      <c r="V1583" s="4"/>
      <c r="W1583" s="4"/>
      <c r="X1583" s="4"/>
      <c r="Y1583" s="4"/>
      <c r="Z1583" s="4"/>
      <c r="AA1583" s="4"/>
      <c r="AB1583" s="5"/>
    </row>
    <row r="1584" spans="1:28" x14ac:dyDescent="0.35">
      <c r="A1584" s="3"/>
      <c r="B1584" s="4"/>
      <c r="C1584" s="4"/>
      <c r="D1584" s="4"/>
      <c r="E1584" s="4"/>
      <c r="F1584" s="4"/>
      <c r="G1584" s="4"/>
      <c r="H1584" s="4"/>
      <c r="I1584" s="4"/>
      <c r="J1584" s="4"/>
      <c r="K1584" s="4"/>
      <c r="L1584" s="4"/>
      <c r="M1584" s="4"/>
      <c r="N1584" s="4"/>
      <c r="O1584" s="4"/>
      <c r="P1584" s="4"/>
      <c r="Q1584" s="4"/>
      <c r="R1584" s="4"/>
      <c r="S1584" s="4"/>
      <c r="T1584" s="4"/>
      <c r="U1584" s="4"/>
      <c r="V1584" s="4"/>
      <c r="W1584" s="4"/>
      <c r="X1584" s="4"/>
      <c r="Y1584" s="4"/>
      <c r="Z1584" s="4"/>
      <c r="AA1584" s="4"/>
      <c r="AB1584" s="5"/>
    </row>
    <row r="1585" spans="1:28" x14ac:dyDescent="0.35">
      <c r="A1585" s="3"/>
      <c r="B1585" s="4"/>
      <c r="C1585" s="4"/>
      <c r="D1585" s="4"/>
      <c r="E1585" s="4"/>
      <c r="F1585" s="4"/>
      <c r="G1585" s="4"/>
      <c r="H1585" s="4"/>
      <c r="I1585" s="4"/>
      <c r="J1585" s="4"/>
      <c r="K1585" s="4"/>
      <c r="L1585" s="4"/>
      <c r="M1585" s="4"/>
      <c r="N1585" s="4"/>
      <c r="O1585" s="4"/>
      <c r="P1585" s="4"/>
      <c r="Q1585" s="4"/>
      <c r="R1585" s="4"/>
      <c r="S1585" s="4"/>
      <c r="T1585" s="4"/>
      <c r="U1585" s="4"/>
      <c r="V1585" s="4"/>
      <c r="W1585" s="4"/>
      <c r="X1585" s="4"/>
      <c r="Y1585" s="4"/>
      <c r="Z1585" s="4"/>
      <c r="AA1585" s="4"/>
      <c r="AB1585" s="5"/>
    </row>
    <row r="1586" spans="1:28" x14ac:dyDescent="0.35">
      <c r="A1586" s="3"/>
      <c r="B1586" s="4"/>
      <c r="C1586" s="4"/>
      <c r="D1586" s="4"/>
      <c r="E1586" s="4"/>
      <c r="F1586" s="4"/>
      <c r="G1586" s="4"/>
      <c r="H1586" s="4"/>
      <c r="I1586" s="4"/>
      <c r="J1586" s="4"/>
      <c r="K1586" s="4"/>
      <c r="L1586" s="4"/>
      <c r="M1586" s="4"/>
      <c r="N1586" s="4"/>
      <c r="O1586" s="4"/>
      <c r="P1586" s="4"/>
      <c r="Q1586" s="4"/>
      <c r="R1586" s="4"/>
      <c r="S1586" s="4"/>
      <c r="T1586" s="4"/>
      <c r="U1586" s="4"/>
      <c r="V1586" s="4"/>
      <c r="W1586" s="4"/>
      <c r="X1586" s="4"/>
      <c r="Y1586" s="4"/>
      <c r="Z1586" s="4"/>
      <c r="AA1586" s="4"/>
      <c r="AB1586" s="5"/>
    </row>
    <row r="1587" spans="1:28" x14ac:dyDescent="0.35">
      <c r="A1587" s="3"/>
      <c r="B1587" s="4"/>
      <c r="C1587" s="4"/>
      <c r="D1587" s="4"/>
      <c r="E1587" s="4"/>
      <c r="F1587" s="4"/>
      <c r="G1587" s="4"/>
      <c r="H1587" s="4"/>
      <c r="I1587" s="4"/>
      <c r="J1587" s="4"/>
      <c r="K1587" s="4"/>
      <c r="L1587" s="4"/>
      <c r="M1587" s="4"/>
      <c r="N1587" s="4"/>
      <c r="O1587" s="4"/>
      <c r="P1587" s="4"/>
      <c r="Q1587" s="4"/>
      <c r="R1587" s="4"/>
      <c r="S1587" s="4"/>
      <c r="T1587" s="4"/>
      <c r="U1587" s="4"/>
      <c r="V1587" s="4"/>
      <c r="W1587" s="4"/>
      <c r="X1587" s="4"/>
      <c r="Y1587" s="4"/>
      <c r="Z1587" s="4"/>
      <c r="AA1587" s="4"/>
      <c r="AB1587" s="5"/>
    </row>
    <row r="1588" spans="1:28" x14ac:dyDescent="0.35">
      <c r="A1588" s="3"/>
      <c r="B1588" s="4"/>
      <c r="C1588" s="4"/>
      <c r="D1588" s="4"/>
      <c r="E1588" s="4"/>
      <c r="F1588" s="4"/>
      <c r="G1588" s="4"/>
      <c r="H1588" s="4"/>
      <c r="I1588" s="4"/>
      <c r="J1588" s="4"/>
      <c r="K1588" s="4"/>
      <c r="L1588" s="4"/>
      <c r="M1588" s="4"/>
      <c r="N1588" s="4"/>
      <c r="O1588" s="4"/>
      <c r="P1588" s="4"/>
      <c r="Q1588" s="4"/>
      <c r="R1588" s="4"/>
      <c r="S1588" s="4"/>
      <c r="T1588" s="4"/>
      <c r="U1588" s="4"/>
      <c r="V1588" s="4"/>
      <c r="W1588" s="4"/>
      <c r="X1588" s="4"/>
      <c r="Y1588" s="4"/>
      <c r="Z1588" s="4"/>
      <c r="AA1588" s="4"/>
      <c r="AB1588" s="5"/>
    </row>
    <row r="1589" spans="1:28" x14ac:dyDescent="0.35">
      <c r="A1589" s="3"/>
      <c r="B1589" s="4"/>
      <c r="C1589" s="4"/>
      <c r="D1589" s="4"/>
      <c r="E1589" s="4"/>
      <c r="F1589" s="4"/>
      <c r="G1589" s="4"/>
      <c r="H1589" s="4"/>
      <c r="I1589" s="4"/>
      <c r="J1589" s="4"/>
      <c r="K1589" s="4"/>
      <c r="L1589" s="4"/>
      <c r="M1589" s="4"/>
      <c r="N1589" s="4"/>
      <c r="O1589" s="4"/>
      <c r="P1589" s="4"/>
      <c r="Q1589" s="4"/>
      <c r="R1589" s="4"/>
      <c r="S1589" s="4"/>
      <c r="T1589" s="4"/>
      <c r="U1589" s="4"/>
      <c r="V1589" s="4"/>
      <c r="W1589" s="4"/>
      <c r="X1589" s="4"/>
      <c r="Y1589" s="4"/>
      <c r="Z1589" s="4"/>
      <c r="AA1589" s="4"/>
      <c r="AB1589" s="5"/>
    </row>
    <row r="1590" spans="1:28" x14ac:dyDescent="0.35">
      <c r="A1590" s="3"/>
      <c r="B1590" s="4"/>
      <c r="C1590" s="4"/>
      <c r="D1590" s="4"/>
      <c r="E1590" s="4"/>
      <c r="F1590" s="4"/>
      <c r="G1590" s="4"/>
      <c r="H1590" s="4"/>
      <c r="I1590" s="4"/>
      <c r="J1590" s="4"/>
      <c r="K1590" s="4"/>
      <c r="L1590" s="4"/>
      <c r="M1590" s="4"/>
      <c r="N1590" s="4"/>
      <c r="O1590" s="4"/>
      <c r="P1590" s="4"/>
      <c r="Q1590" s="4"/>
      <c r="R1590" s="4"/>
      <c r="S1590" s="4"/>
      <c r="T1590" s="4"/>
      <c r="U1590" s="4"/>
      <c r="V1590" s="4"/>
      <c r="W1590" s="4"/>
      <c r="X1590" s="4"/>
      <c r="Y1590" s="4"/>
      <c r="Z1590" s="4"/>
      <c r="AA1590" s="4"/>
      <c r="AB1590" s="5"/>
    </row>
    <row r="1591" spans="1:28" x14ac:dyDescent="0.35">
      <c r="A1591" s="3"/>
      <c r="B1591" s="4"/>
      <c r="C1591" s="4"/>
      <c r="D1591" s="4"/>
      <c r="E1591" s="4"/>
      <c r="F1591" s="4"/>
      <c r="G1591" s="4"/>
      <c r="H1591" s="4"/>
      <c r="I1591" s="4"/>
      <c r="J1591" s="4"/>
      <c r="K1591" s="4"/>
      <c r="L1591" s="4"/>
      <c r="M1591" s="4"/>
      <c r="N1591" s="4"/>
      <c r="O1591" s="4"/>
      <c r="P1591" s="4"/>
      <c r="Q1591" s="4"/>
      <c r="R1591" s="4"/>
      <c r="S1591" s="4"/>
      <c r="T1591" s="4"/>
      <c r="U1591" s="4"/>
      <c r="V1591" s="4"/>
      <c r="W1591" s="4"/>
      <c r="X1591" s="4"/>
      <c r="Y1591" s="4"/>
      <c r="Z1591" s="4"/>
      <c r="AA1591" s="4"/>
      <c r="AB1591" s="5"/>
    </row>
    <row r="1592" spans="1:28" x14ac:dyDescent="0.35">
      <c r="A1592" s="3"/>
      <c r="B1592" s="4"/>
      <c r="C1592" s="4"/>
      <c r="D1592" s="4"/>
      <c r="E1592" s="4"/>
      <c r="F1592" s="4"/>
      <c r="G1592" s="4"/>
      <c r="H1592" s="4"/>
      <c r="I1592" s="4"/>
      <c r="J1592" s="4"/>
      <c r="K1592" s="4"/>
      <c r="L1592" s="4"/>
      <c r="M1592" s="4"/>
      <c r="N1592" s="4"/>
      <c r="O1592" s="4"/>
      <c r="P1592" s="4"/>
      <c r="Q1592" s="4"/>
      <c r="R1592" s="4"/>
      <c r="S1592" s="4"/>
      <c r="T1592" s="4"/>
      <c r="U1592" s="4"/>
      <c r="V1592" s="4"/>
      <c r="W1592" s="4"/>
      <c r="X1592" s="4"/>
      <c r="Y1592" s="4"/>
      <c r="Z1592" s="4"/>
      <c r="AA1592" s="4"/>
      <c r="AB1592" s="5"/>
    </row>
    <row r="1593" spans="1:28" x14ac:dyDescent="0.35">
      <c r="A1593" s="3"/>
      <c r="B1593" s="4"/>
      <c r="C1593" s="4"/>
      <c r="D1593" s="4"/>
      <c r="E1593" s="4"/>
      <c r="F1593" s="4"/>
      <c r="G1593" s="4"/>
      <c r="H1593" s="4"/>
      <c r="I1593" s="4"/>
      <c r="J1593" s="4"/>
      <c r="K1593" s="4"/>
      <c r="L1593" s="4"/>
      <c r="M1593" s="4"/>
      <c r="N1593" s="4"/>
      <c r="O1593" s="4"/>
      <c r="P1593" s="4"/>
      <c r="Q1593" s="4"/>
      <c r="R1593" s="4"/>
      <c r="S1593" s="4"/>
      <c r="T1593" s="4"/>
      <c r="U1593" s="4"/>
      <c r="V1593" s="4"/>
      <c r="W1593" s="4"/>
      <c r="X1593" s="4"/>
      <c r="Y1593" s="4"/>
      <c r="Z1593" s="4"/>
      <c r="AA1593" s="4"/>
      <c r="AB1593" s="5"/>
    </row>
    <row r="1594" spans="1:28" x14ac:dyDescent="0.35">
      <c r="A1594" s="3"/>
      <c r="B1594" s="4"/>
      <c r="C1594" s="4"/>
      <c r="D1594" s="4"/>
      <c r="E1594" s="4"/>
      <c r="F1594" s="4"/>
      <c r="G1594" s="4"/>
      <c r="H1594" s="4"/>
      <c r="I1594" s="4"/>
      <c r="J1594" s="4"/>
      <c r="K1594" s="4"/>
      <c r="L1594" s="4"/>
      <c r="M1594" s="4"/>
      <c r="N1594" s="4"/>
      <c r="O1594" s="4"/>
      <c r="P1594" s="4"/>
      <c r="Q1594" s="4"/>
      <c r="R1594" s="4"/>
      <c r="S1594" s="4"/>
      <c r="T1594" s="4"/>
      <c r="U1594" s="4"/>
      <c r="V1594" s="4"/>
      <c r="W1594" s="4"/>
      <c r="X1594" s="4"/>
      <c r="Y1594" s="4"/>
      <c r="Z1594" s="4"/>
      <c r="AA1594" s="4"/>
      <c r="AB1594" s="5"/>
    </row>
    <row r="1595" spans="1:28" x14ac:dyDescent="0.35">
      <c r="A1595" s="3"/>
      <c r="B1595" s="4"/>
      <c r="C1595" s="4"/>
      <c r="D1595" s="4"/>
      <c r="E1595" s="4"/>
      <c r="F1595" s="4"/>
      <c r="G1595" s="4"/>
      <c r="H1595" s="4"/>
      <c r="I1595" s="4"/>
      <c r="J1595" s="4"/>
      <c r="K1595" s="4"/>
      <c r="L1595" s="4"/>
      <c r="M1595" s="4"/>
      <c r="N1595" s="4"/>
      <c r="O1595" s="4"/>
      <c r="P1595" s="4"/>
      <c r="Q1595" s="4"/>
      <c r="R1595" s="4"/>
      <c r="S1595" s="4"/>
      <c r="T1595" s="4"/>
      <c r="U1595" s="4"/>
      <c r="V1595" s="4"/>
      <c r="W1595" s="4"/>
      <c r="X1595" s="4"/>
      <c r="Y1595" s="4"/>
      <c r="Z1595" s="4"/>
      <c r="AA1595" s="4"/>
      <c r="AB1595" s="5"/>
    </row>
    <row r="1596" spans="1:28" x14ac:dyDescent="0.35">
      <c r="A1596" s="3"/>
      <c r="B1596" s="4"/>
      <c r="C1596" s="4"/>
      <c r="D1596" s="4"/>
      <c r="E1596" s="4"/>
      <c r="F1596" s="4"/>
      <c r="G1596" s="4"/>
      <c r="H1596" s="4"/>
      <c r="I1596" s="4"/>
      <c r="J1596" s="4"/>
      <c r="K1596" s="4"/>
      <c r="L1596" s="4"/>
      <c r="M1596" s="4"/>
      <c r="N1596" s="4"/>
      <c r="O1596" s="4"/>
      <c r="P1596" s="4"/>
      <c r="Q1596" s="4"/>
      <c r="R1596" s="4"/>
      <c r="S1596" s="4"/>
      <c r="T1596" s="4"/>
      <c r="U1596" s="4"/>
      <c r="V1596" s="4"/>
      <c r="W1596" s="4"/>
      <c r="X1596" s="4"/>
      <c r="Y1596" s="4"/>
      <c r="Z1596" s="4"/>
      <c r="AA1596" s="4"/>
      <c r="AB1596" s="5"/>
    </row>
    <row r="1597" spans="1:28" x14ac:dyDescent="0.35">
      <c r="A1597" s="3"/>
      <c r="B1597" s="4"/>
      <c r="C1597" s="4"/>
      <c r="D1597" s="4"/>
      <c r="E1597" s="4"/>
      <c r="F1597" s="4"/>
      <c r="G1597" s="4"/>
      <c r="H1597" s="4"/>
      <c r="I1597" s="4"/>
      <c r="J1597" s="4"/>
      <c r="K1597" s="4"/>
      <c r="L1597" s="4"/>
      <c r="M1597" s="4"/>
      <c r="N1597" s="4"/>
      <c r="O1597" s="4"/>
      <c r="P1597" s="4"/>
      <c r="Q1597" s="4"/>
      <c r="R1597" s="4"/>
      <c r="S1597" s="4"/>
      <c r="T1597" s="4"/>
      <c r="U1597" s="4"/>
      <c r="V1597" s="4"/>
      <c r="W1597" s="4"/>
      <c r="X1597" s="4"/>
      <c r="Y1597" s="4"/>
      <c r="Z1597" s="4"/>
      <c r="AA1597" s="4"/>
      <c r="AB1597" s="5"/>
    </row>
    <row r="1598" spans="1:28" x14ac:dyDescent="0.35">
      <c r="A1598" s="3"/>
      <c r="B1598" s="4"/>
      <c r="C1598" s="4"/>
      <c r="D1598" s="4"/>
      <c r="E1598" s="4"/>
      <c r="F1598" s="4"/>
      <c r="G1598" s="4"/>
      <c r="H1598" s="4"/>
      <c r="I1598" s="4"/>
      <c r="J1598" s="4"/>
      <c r="K1598" s="4"/>
      <c r="L1598" s="4"/>
      <c r="M1598" s="4"/>
      <c r="N1598" s="4"/>
      <c r="O1598" s="4"/>
      <c r="P1598" s="4"/>
      <c r="Q1598" s="4"/>
      <c r="R1598" s="4"/>
      <c r="S1598" s="4"/>
      <c r="T1598" s="4"/>
      <c r="U1598" s="4"/>
      <c r="V1598" s="4"/>
      <c r="W1598" s="4"/>
      <c r="X1598" s="4"/>
      <c r="Y1598" s="4"/>
      <c r="Z1598" s="4"/>
      <c r="AA1598" s="4"/>
      <c r="AB1598" s="5"/>
    </row>
    <row r="1599" spans="1:28" x14ac:dyDescent="0.35">
      <c r="A1599" s="3"/>
      <c r="B1599" s="4"/>
      <c r="C1599" s="4"/>
      <c r="D1599" s="4"/>
      <c r="E1599" s="4"/>
      <c r="F1599" s="4"/>
      <c r="G1599" s="4"/>
      <c r="H1599" s="4"/>
      <c r="I1599" s="4"/>
      <c r="J1599" s="4"/>
      <c r="K1599" s="4"/>
      <c r="L1599" s="4"/>
      <c r="M1599" s="4"/>
      <c r="N1599" s="4"/>
      <c r="O1599" s="4"/>
      <c r="P1599" s="4"/>
      <c r="Q1599" s="4"/>
      <c r="R1599" s="4"/>
      <c r="S1599" s="4"/>
      <c r="T1599" s="4"/>
      <c r="U1599" s="4"/>
      <c r="V1599" s="4"/>
      <c r="W1599" s="4"/>
      <c r="X1599" s="4"/>
      <c r="Y1599" s="4"/>
      <c r="Z1599" s="4"/>
      <c r="AA1599" s="4"/>
      <c r="AB1599" s="5"/>
    </row>
    <row r="1600" spans="1:28" x14ac:dyDescent="0.35">
      <c r="A1600" s="3"/>
      <c r="B1600" s="4"/>
      <c r="C1600" s="4"/>
      <c r="D1600" s="4"/>
      <c r="E1600" s="4"/>
      <c r="F1600" s="4"/>
      <c r="G1600" s="4"/>
      <c r="H1600" s="4"/>
      <c r="I1600" s="4"/>
      <c r="J1600" s="4"/>
      <c r="K1600" s="4"/>
      <c r="L1600" s="4"/>
      <c r="M1600" s="4"/>
      <c r="N1600" s="4"/>
      <c r="O1600" s="4"/>
      <c r="P1600" s="4"/>
      <c r="Q1600" s="4"/>
      <c r="R1600" s="4"/>
      <c r="S1600" s="4"/>
      <c r="T1600" s="4"/>
      <c r="U1600" s="4"/>
      <c r="V1600" s="4"/>
      <c r="W1600" s="4"/>
      <c r="X1600" s="4"/>
      <c r="Y1600" s="4"/>
      <c r="Z1600" s="4"/>
      <c r="AA1600" s="4"/>
      <c r="AB1600" s="5"/>
    </row>
    <row r="1601" spans="1:28" x14ac:dyDescent="0.35">
      <c r="A1601" s="3"/>
      <c r="B1601" s="4"/>
      <c r="C1601" s="4"/>
      <c r="D1601" s="4"/>
      <c r="E1601" s="4"/>
      <c r="F1601" s="4"/>
      <c r="G1601" s="4"/>
      <c r="H1601" s="4"/>
      <c r="I1601" s="4"/>
      <c r="J1601" s="4"/>
      <c r="K1601" s="4"/>
      <c r="L1601" s="4"/>
      <c r="M1601" s="4"/>
      <c r="N1601" s="4"/>
      <c r="O1601" s="4"/>
      <c r="P1601" s="4"/>
      <c r="Q1601" s="4"/>
      <c r="R1601" s="4"/>
      <c r="S1601" s="4"/>
      <c r="T1601" s="4"/>
      <c r="U1601" s="4"/>
      <c r="V1601" s="4"/>
      <c r="W1601" s="4"/>
      <c r="X1601" s="4"/>
      <c r="Y1601" s="4"/>
      <c r="Z1601" s="4"/>
      <c r="AA1601" s="4"/>
      <c r="AB1601" s="5"/>
    </row>
    <row r="1602" spans="1:28" x14ac:dyDescent="0.35">
      <c r="A1602" s="3"/>
      <c r="B1602" s="4"/>
      <c r="C1602" s="4"/>
      <c r="D1602" s="4"/>
      <c r="E1602" s="4"/>
      <c r="F1602" s="4"/>
      <c r="G1602" s="4"/>
      <c r="H1602" s="4"/>
      <c r="I1602" s="4"/>
      <c r="J1602" s="4"/>
      <c r="K1602" s="4"/>
      <c r="L1602" s="4"/>
      <c r="M1602" s="4"/>
      <c r="N1602" s="4"/>
      <c r="O1602" s="4"/>
      <c r="P1602" s="4"/>
      <c r="Q1602" s="4"/>
      <c r="R1602" s="4"/>
      <c r="S1602" s="4"/>
      <c r="T1602" s="4"/>
      <c r="U1602" s="4"/>
      <c r="V1602" s="4"/>
      <c r="W1602" s="4"/>
      <c r="X1602" s="4"/>
      <c r="Y1602" s="4"/>
      <c r="Z1602" s="4"/>
      <c r="AA1602" s="4"/>
      <c r="AB1602" s="5"/>
    </row>
    <row r="1603" spans="1:28" x14ac:dyDescent="0.35">
      <c r="A1603" s="3"/>
      <c r="B1603" s="4"/>
      <c r="C1603" s="4"/>
      <c r="D1603" s="4"/>
      <c r="E1603" s="4"/>
      <c r="F1603" s="4"/>
      <c r="G1603" s="4"/>
      <c r="H1603" s="4"/>
      <c r="I1603" s="4"/>
      <c r="J1603" s="4"/>
      <c r="K1603" s="4"/>
      <c r="L1603" s="4"/>
      <c r="M1603" s="4"/>
      <c r="N1603" s="4"/>
      <c r="O1603" s="4"/>
      <c r="P1603" s="4"/>
      <c r="Q1603" s="4"/>
      <c r="R1603" s="4"/>
      <c r="S1603" s="4"/>
      <c r="T1603" s="4"/>
      <c r="U1603" s="4"/>
      <c r="V1603" s="4"/>
      <c r="W1603" s="4"/>
      <c r="X1603" s="4"/>
      <c r="Y1603" s="4"/>
      <c r="Z1603" s="4"/>
      <c r="AA1603" s="4"/>
      <c r="AB1603" s="5"/>
    </row>
    <row r="1604" spans="1:28" x14ac:dyDescent="0.35">
      <c r="A1604" s="3"/>
      <c r="B1604" s="4"/>
      <c r="C1604" s="4"/>
      <c r="D1604" s="4"/>
      <c r="E1604" s="4"/>
      <c r="F1604" s="4"/>
      <c r="G1604" s="4"/>
      <c r="H1604" s="4"/>
      <c r="I1604" s="4"/>
      <c r="J1604" s="4"/>
      <c r="K1604" s="4"/>
      <c r="L1604" s="4"/>
      <c r="M1604" s="4"/>
      <c r="N1604" s="4"/>
      <c r="O1604" s="4"/>
      <c r="P1604" s="4"/>
      <c r="Q1604" s="4"/>
      <c r="R1604" s="4"/>
      <c r="S1604" s="4"/>
      <c r="T1604" s="4"/>
      <c r="U1604" s="4"/>
      <c r="V1604" s="4"/>
      <c r="W1604" s="4"/>
      <c r="X1604" s="4"/>
      <c r="Y1604" s="4"/>
      <c r="Z1604" s="4"/>
      <c r="AA1604" s="4"/>
      <c r="AB1604" s="5"/>
    </row>
    <row r="1605" spans="1:28" x14ac:dyDescent="0.35">
      <c r="A1605" s="3"/>
      <c r="B1605" s="4"/>
      <c r="C1605" s="4"/>
      <c r="D1605" s="4"/>
      <c r="E1605" s="4"/>
      <c r="F1605" s="4"/>
      <c r="G1605" s="4"/>
      <c r="H1605" s="4"/>
      <c r="I1605" s="4"/>
      <c r="J1605" s="4"/>
      <c r="K1605" s="4"/>
      <c r="L1605" s="4"/>
      <c r="M1605" s="4"/>
      <c r="N1605" s="4"/>
      <c r="O1605" s="4"/>
      <c r="P1605" s="4"/>
      <c r="Q1605" s="4"/>
      <c r="R1605" s="4"/>
      <c r="S1605" s="4"/>
      <c r="T1605" s="4"/>
      <c r="U1605" s="4"/>
      <c r="V1605" s="4"/>
      <c r="W1605" s="4"/>
      <c r="X1605" s="4"/>
      <c r="Y1605" s="4"/>
      <c r="Z1605" s="4"/>
      <c r="AA1605" s="4"/>
      <c r="AB1605" s="5"/>
    </row>
    <row r="1606" spans="1:28" x14ac:dyDescent="0.35">
      <c r="A1606" s="3"/>
      <c r="B1606" s="4"/>
      <c r="C1606" s="4"/>
      <c r="D1606" s="4"/>
      <c r="E1606" s="4"/>
      <c r="F1606" s="4"/>
      <c r="G1606" s="4"/>
      <c r="H1606" s="4"/>
      <c r="I1606" s="4"/>
      <c r="J1606" s="4"/>
      <c r="K1606" s="4"/>
      <c r="L1606" s="4"/>
      <c r="M1606" s="4"/>
      <c r="N1606" s="4"/>
      <c r="O1606" s="4"/>
      <c r="P1606" s="4"/>
      <c r="Q1606" s="4"/>
      <c r="R1606" s="4"/>
      <c r="S1606" s="4"/>
      <c r="T1606" s="4"/>
      <c r="U1606" s="4"/>
      <c r="V1606" s="4"/>
      <c r="W1606" s="4"/>
      <c r="X1606" s="4"/>
      <c r="Y1606" s="4"/>
      <c r="Z1606" s="4"/>
      <c r="AA1606" s="4"/>
      <c r="AB1606" s="5"/>
    </row>
    <row r="1607" spans="1:28" x14ac:dyDescent="0.35">
      <c r="A1607" s="3"/>
      <c r="B1607" s="4"/>
      <c r="C1607" s="4"/>
      <c r="D1607" s="4"/>
      <c r="E1607" s="4"/>
      <c r="F1607" s="4"/>
      <c r="G1607" s="4"/>
      <c r="H1607" s="4"/>
      <c r="I1607" s="4"/>
      <c r="J1607" s="4"/>
      <c r="K1607" s="4"/>
      <c r="L1607" s="4"/>
      <c r="M1607" s="4"/>
      <c r="N1607" s="4"/>
      <c r="O1607" s="4"/>
      <c r="P1607" s="4"/>
      <c r="Q1607" s="4"/>
      <c r="R1607" s="4"/>
      <c r="S1607" s="4"/>
      <c r="T1607" s="4"/>
      <c r="U1607" s="4"/>
      <c r="V1607" s="4"/>
      <c r="W1607" s="4"/>
      <c r="X1607" s="4"/>
      <c r="Y1607" s="4"/>
      <c r="Z1607" s="4"/>
      <c r="AA1607" s="4"/>
      <c r="AB1607" s="5"/>
    </row>
    <row r="1608" spans="1:28" x14ac:dyDescent="0.35">
      <c r="A1608" s="3"/>
      <c r="B1608" s="4"/>
      <c r="C1608" s="4"/>
      <c r="D1608" s="4"/>
      <c r="E1608" s="4"/>
      <c r="F1608" s="4"/>
      <c r="G1608" s="4"/>
      <c r="H1608" s="4"/>
      <c r="I1608" s="4"/>
      <c r="J1608" s="4"/>
      <c r="K1608" s="4"/>
      <c r="L1608" s="4"/>
      <c r="M1608" s="4"/>
      <c r="N1608" s="4"/>
      <c r="O1608" s="4"/>
      <c r="P1608" s="4"/>
      <c r="Q1608" s="4"/>
      <c r="R1608" s="4"/>
      <c r="S1608" s="4"/>
      <c r="T1608" s="4"/>
      <c r="U1608" s="4"/>
      <c r="V1608" s="4"/>
      <c r="W1608" s="4"/>
      <c r="X1608" s="4"/>
      <c r="Y1608" s="4"/>
      <c r="Z1608" s="4"/>
      <c r="AA1608" s="4"/>
      <c r="AB1608" s="5"/>
    </row>
    <row r="1609" spans="1:28" x14ac:dyDescent="0.35">
      <c r="A1609" s="3"/>
      <c r="B1609" s="4"/>
      <c r="C1609" s="4"/>
      <c r="D1609" s="4"/>
      <c r="E1609" s="4"/>
      <c r="F1609" s="4"/>
      <c r="G1609" s="4"/>
      <c r="H1609" s="4"/>
      <c r="I1609" s="4"/>
      <c r="J1609" s="4"/>
      <c r="K1609" s="4"/>
      <c r="L1609" s="4"/>
      <c r="M1609" s="4"/>
      <c r="N1609" s="4"/>
      <c r="O1609" s="4"/>
      <c r="P1609" s="4"/>
      <c r="Q1609" s="4"/>
      <c r="R1609" s="4"/>
      <c r="S1609" s="4"/>
      <c r="T1609" s="4"/>
      <c r="U1609" s="4"/>
      <c r="V1609" s="4"/>
      <c r="W1609" s="4"/>
      <c r="X1609" s="4"/>
      <c r="Y1609" s="4"/>
      <c r="Z1609" s="4"/>
      <c r="AA1609" s="4"/>
      <c r="AB1609" s="5"/>
    </row>
    <row r="1610" spans="1:28" x14ac:dyDescent="0.35">
      <c r="A1610" s="3"/>
      <c r="B1610" s="4"/>
      <c r="C1610" s="4"/>
      <c r="D1610" s="4"/>
      <c r="E1610" s="4"/>
      <c r="F1610" s="4"/>
      <c r="G1610" s="4"/>
      <c r="H1610" s="4"/>
      <c r="I1610" s="4"/>
      <c r="J1610" s="4"/>
      <c r="K1610" s="4"/>
      <c r="L1610" s="4"/>
      <c r="M1610" s="4"/>
      <c r="N1610" s="4"/>
      <c r="O1610" s="4"/>
      <c r="P1610" s="4"/>
      <c r="Q1610" s="4"/>
      <c r="R1610" s="4"/>
      <c r="S1610" s="4"/>
      <c r="T1610" s="4"/>
      <c r="U1610" s="4"/>
      <c r="V1610" s="4"/>
      <c r="W1610" s="4"/>
      <c r="X1610" s="4"/>
      <c r="Y1610" s="4"/>
      <c r="Z1610" s="4"/>
      <c r="AA1610" s="4"/>
      <c r="AB1610" s="5"/>
    </row>
    <row r="1611" spans="1:28" x14ac:dyDescent="0.35">
      <c r="A1611" s="3"/>
      <c r="B1611" s="4"/>
      <c r="C1611" s="4"/>
      <c r="D1611" s="4"/>
      <c r="E1611" s="4"/>
      <c r="F1611" s="4"/>
      <c r="G1611" s="4"/>
      <c r="H1611" s="4"/>
      <c r="I1611" s="4"/>
      <c r="J1611" s="4"/>
      <c r="K1611" s="4"/>
      <c r="L1611" s="4"/>
      <c r="M1611" s="4"/>
      <c r="N1611" s="4"/>
      <c r="O1611" s="4"/>
      <c r="P1611" s="4"/>
      <c r="Q1611" s="4"/>
      <c r="R1611" s="4"/>
      <c r="S1611" s="4"/>
      <c r="T1611" s="4"/>
      <c r="U1611" s="4"/>
      <c r="V1611" s="4"/>
      <c r="W1611" s="4"/>
      <c r="X1611" s="4"/>
      <c r="Y1611" s="4"/>
      <c r="Z1611" s="4"/>
      <c r="AA1611" s="4"/>
      <c r="AB1611" s="5"/>
    </row>
    <row r="1612" spans="1:28" x14ac:dyDescent="0.35">
      <c r="A1612" s="3"/>
      <c r="B1612" s="4"/>
      <c r="C1612" s="4"/>
      <c r="D1612" s="4"/>
      <c r="E1612" s="4"/>
      <c r="F1612" s="4"/>
      <c r="G1612" s="4"/>
      <c r="H1612" s="4"/>
      <c r="I1612" s="4"/>
      <c r="J1612" s="4"/>
      <c r="K1612" s="4"/>
      <c r="L1612" s="4"/>
      <c r="M1612" s="4"/>
      <c r="N1612" s="4"/>
      <c r="O1612" s="4"/>
      <c r="P1612" s="4"/>
      <c r="Q1612" s="4"/>
      <c r="R1612" s="4"/>
      <c r="S1612" s="4"/>
      <c r="T1612" s="4"/>
      <c r="U1612" s="4"/>
      <c r="V1612" s="4"/>
      <c r="W1612" s="4"/>
      <c r="X1612" s="4"/>
      <c r="Y1612" s="4"/>
      <c r="Z1612" s="4"/>
      <c r="AA1612" s="4"/>
      <c r="AB1612" s="5"/>
    </row>
    <row r="1613" spans="1:28" x14ac:dyDescent="0.35">
      <c r="A1613" s="3"/>
      <c r="B1613" s="4"/>
      <c r="C1613" s="4"/>
      <c r="D1613" s="4"/>
      <c r="E1613" s="4"/>
      <c r="F1613" s="4"/>
      <c r="G1613" s="4"/>
      <c r="H1613" s="4"/>
      <c r="I1613" s="4"/>
      <c r="J1613" s="4"/>
      <c r="K1613" s="4"/>
      <c r="L1613" s="4"/>
      <c r="M1613" s="4"/>
      <c r="N1613" s="4"/>
      <c r="O1613" s="4"/>
      <c r="P1613" s="4"/>
      <c r="Q1613" s="4"/>
      <c r="R1613" s="4"/>
      <c r="S1613" s="4"/>
      <c r="T1613" s="4"/>
      <c r="U1613" s="4"/>
      <c r="V1613" s="4"/>
      <c r="W1613" s="4"/>
      <c r="X1613" s="4"/>
      <c r="Y1613" s="4"/>
      <c r="Z1613" s="4"/>
      <c r="AA1613" s="4"/>
      <c r="AB1613" s="5"/>
    </row>
    <row r="1614" spans="1:28" x14ac:dyDescent="0.35">
      <c r="A1614" s="3"/>
      <c r="B1614" s="4"/>
      <c r="C1614" s="4"/>
      <c r="D1614" s="4"/>
      <c r="E1614" s="4"/>
      <c r="F1614" s="4"/>
      <c r="G1614" s="4"/>
      <c r="H1614" s="4"/>
      <c r="I1614" s="4"/>
      <c r="J1614" s="4"/>
      <c r="K1614" s="4"/>
      <c r="L1614" s="4"/>
      <c r="M1614" s="4"/>
      <c r="N1614" s="4"/>
      <c r="O1614" s="4"/>
      <c r="P1614" s="4"/>
      <c r="Q1614" s="4"/>
      <c r="R1614" s="4"/>
      <c r="S1614" s="4"/>
      <c r="T1614" s="4"/>
      <c r="U1614" s="4"/>
      <c r="V1614" s="4"/>
      <c r="W1614" s="4"/>
      <c r="X1614" s="4"/>
      <c r="Y1614" s="4"/>
      <c r="Z1614" s="4"/>
      <c r="AA1614" s="4"/>
      <c r="AB1614" s="5"/>
    </row>
    <row r="1615" spans="1:28" x14ac:dyDescent="0.35">
      <c r="A1615" s="3"/>
      <c r="B1615" s="4"/>
      <c r="C1615" s="4"/>
      <c r="D1615" s="4"/>
      <c r="E1615" s="4"/>
      <c r="F1615" s="4"/>
      <c r="G1615" s="4"/>
      <c r="H1615" s="4"/>
      <c r="I1615" s="4"/>
      <c r="J1615" s="4"/>
      <c r="K1615" s="4"/>
      <c r="L1615" s="4"/>
      <c r="M1615" s="4"/>
      <c r="N1615" s="4"/>
      <c r="O1615" s="4"/>
      <c r="P1615" s="4"/>
      <c r="Q1615" s="4"/>
      <c r="R1615" s="4"/>
      <c r="S1615" s="4"/>
      <c r="T1615" s="4"/>
      <c r="U1615" s="4"/>
      <c r="V1615" s="4"/>
      <c r="W1615" s="4"/>
      <c r="X1615" s="4"/>
      <c r="Y1615" s="4"/>
      <c r="Z1615" s="4"/>
      <c r="AA1615" s="4"/>
      <c r="AB1615" s="5"/>
    </row>
    <row r="1616" spans="1:28" x14ac:dyDescent="0.35">
      <c r="A1616" s="3"/>
      <c r="B1616" s="4"/>
      <c r="C1616" s="4"/>
      <c r="D1616" s="4"/>
      <c r="E1616" s="4"/>
      <c r="F1616" s="4"/>
      <c r="G1616" s="4"/>
      <c r="H1616" s="4"/>
      <c r="I1616" s="4"/>
      <c r="J1616" s="4"/>
      <c r="K1616" s="4"/>
      <c r="L1616" s="4"/>
      <c r="M1616" s="4"/>
      <c r="N1616" s="4"/>
      <c r="O1616" s="4"/>
      <c r="P1616" s="4"/>
      <c r="Q1616" s="4"/>
      <c r="R1616" s="4"/>
      <c r="S1616" s="4"/>
      <c r="T1616" s="4"/>
      <c r="U1616" s="4"/>
      <c r="V1616" s="4"/>
      <c r="W1616" s="4"/>
      <c r="X1616" s="4"/>
      <c r="Y1616" s="4"/>
      <c r="Z1616" s="4"/>
      <c r="AA1616" s="4"/>
      <c r="AB1616" s="5"/>
    </row>
    <row r="1617" spans="1:28" x14ac:dyDescent="0.35">
      <c r="A1617" s="3"/>
      <c r="B1617" s="4"/>
      <c r="C1617" s="4"/>
      <c r="D1617" s="4"/>
      <c r="E1617" s="4"/>
      <c r="F1617" s="4"/>
      <c r="G1617" s="4"/>
      <c r="H1617" s="4"/>
      <c r="I1617" s="4"/>
      <c r="J1617" s="4"/>
      <c r="K1617" s="4"/>
      <c r="L1617" s="4"/>
      <c r="M1617" s="4"/>
      <c r="N1617" s="4"/>
      <c r="O1617" s="4"/>
      <c r="P1617" s="4"/>
      <c r="Q1617" s="4"/>
      <c r="R1617" s="4"/>
      <c r="S1617" s="4"/>
      <c r="T1617" s="4"/>
      <c r="U1617" s="4"/>
      <c r="V1617" s="4"/>
      <c r="W1617" s="4"/>
      <c r="X1617" s="4"/>
      <c r="Y1617" s="4"/>
      <c r="Z1617" s="4"/>
      <c r="AA1617" s="4"/>
      <c r="AB1617" s="5"/>
    </row>
    <row r="1618" spans="1:28" x14ac:dyDescent="0.35">
      <c r="A1618" s="3"/>
      <c r="B1618" s="4"/>
      <c r="C1618" s="4"/>
      <c r="D1618" s="4"/>
      <c r="E1618" s="4"/>
      <c r="F1618" s="4"/>
      <c r="G1618" s="4"/>
      <c r="H1618" s="4"/>
      <c r="I1618" s="4"/>
      <c r="J1618" s="4"/>
      <c r="K1618" s="4"/>
      <c r="L1618" s="4"/>
      <c r="M1618" s="4"/>
      <c r="N1618" s="4"/>
      <c r="O1618" s="4"/>
      <c r="P1618" s="4"/>
      <c r="Q1618" s="4"/>
      <c r="R1618" s="4"/>
      <c r="S1618" s="4"/>
      <c r="T1618" s="4"/>
      <c r="U1618" s="4"/>
      <c r="V1618" s="4"/>
      <c r="W1618" s="4"/>
      <c r="X1618" s="4"/>
      <c r="Y1618" s="4"/>
      <c r="Z1618" s="4"/>
      <c r="AA1618" s="4"/>
      <c r="AB1618" s="5"/>
    </row>
    <row r="1619" spans="1:28" x14ac:dyDescent="0.35">
      <c r="A1619" s="3"/>
      <c r="B1619" s="4"/>
      <c r="C1619" s="4"/>
      <c r="D1619" s="4"/>
      <c r="E1619" s="4"/>
      <c r="F1619" s="4"/>
      <c r="G1619" s="4"/>
      <c r="H1619" s="4"/>
      <c r="I1619" s="4"/>
      <c r="J1619" s="4"/>
      <c r="K1619" s="4"/>
      <c r="L1619" s="4"/>
      <c r="M1619" s="4"/>
      <c r="N1619" s="4"/>
      <c r="O1619" s="4"/>
      <c r="P1619" s="4"/>
      <c r="Q1619" s="4"/>
      <c r="R1619" s="4"/>
      <c r="S1619" s="4"/>
      <c r="T1619" s="4"/>
      <c r="U1619" s="4"/>
      <c r="V1619" s="4"/>
      <c r="W1619" s="4"/>
      <c r="X1619" s="4"/>
      <c r="Y1619" s="4"/>
      <c r="Z1619" s="4"/>
      <c r="AA1619" s="4"/>
      <c r="AB1619" s="5"/>
    </row>
    <row r="1620" spans="1:28" x14ac:dyDescent="0.35">
      <c r="A1620" s="3"/>
      <c r="B1620" s="4"/>
      <c r="C1620" s="4"/>
      <c r="D1620" s="4"/>
      <c r="E1620" s="4"/>
      <c r="F1620" s="4"/>
      <c r="G1620" s="4"/>
      <c r="H1620" s="4"/>
      <c r="I1620" s="4"/>
      <c r="J1620" s="4"/>
      <c r="K1620" s="4"/>
      <c r="L1620" s="4"/>
      <c r="M1620" s="4"/>
      <c r="N1620" s="4"/>
      <c r="O1620" s="4"/>
      <c r="P1620" s="4"/>
      <c r="Q1620" s="4"/>
      <c r="R1620" s="4"/>
      <c r="S1620" s="4"/>
      <c r="T1620" s="4"/>
      <c r="U1620" s="4"/>
      <c r="V1620" s="4"/>
      <c r="W1620" s="4"/>
      <c r="X1620" s="4"/>
      <c r="Y1620" s="4"/>
      <c r="Z1620" s="4"/>
      <c r="AA1620" s="4"/>
      <c r="AB1620" s="5"/>
    </row>
    <row r="1621" spans="1:28" x14ac:dyDescent="0.35">
      <c r="A1621" s="3"/>
      <c r="B1621" s="4"/>
      <c r="C1621" s="4"/>
      <c r="D1621" s="4"/>
      <c r="E1621" s="4"/>
      <c r="F1621" s="4"/>
      <c r="G1621" s="4"/>
      <c r="H1621" s="4"/>
      <c r="I1621" s="4"/>
      <c r="J1621" s="4"/>
      <c r="K1621" s="4"/>
      <c r="L1621" s="4"/>
      <c r="M1621" s="4"/>
      <c r="N1621" s="4"/>
      <c r="O1621" s="4"/>
      <c r="P1621" s="4"/>
      <c r="Q1621" s="4"/>
      <c r="R1621" s="4"/>
      <c r="S1621" s="4"/>
      <c r="T1621" s="4"/>
      <c r="U1621" s="4"/>
      <c r="V1621" s="4"/>
      <c r="W1621" s="4"/>
      <c r="X1621" s="4"/>
      <c r="Y1621" s="4"/>
      <c r="Z1621" s="4"/>
      <c r="AA1621" s="4"/>
      <c r="AB1621" s="5"/>
    </row>
    <row r="1622" spans="1:28" x14ac:dyDescent="0.35">
      <c r="A1622" s="3"/>
      <c r="B1622" s="4"/>
      <c r="C1622" s="4"/>
      <c r="D1622" s="4"/>
      <c r="E1622" s="4"/>
      <c r="F1622" s="4"/>
      <c r="G1622" s="4"/>
      <c r="H1622" s="4"/>
      <c r="I1622" s="4"/>
      <c r="J1622" s="4"/>
      <c r="K1622" s="4"/>
      <c r="L1622" s="4"/>
      <c r="M1622" s="4"/>
      <c r="N1622" s="4"/>
      <c r="O1622" s="4"/>
      <c r="P1622" s="4"/>
      <c r="Q1622" s="4"/>
      <c r="R1622" s="4"/>
      <c r="S1622" s="4"/>
      <c r="T1622" s="4"/>
      <c r="U1622" s="4"/>
      <c r="V1622" s="4"/>
      <c r="W1622" s="4"/>
      <c r="X1622" s="4"/>
      <c r="Y1622" s="4"/>
      <c r="Z1622" s="4"/>
      <c r="AA1622" s="4"/>
      <c r="AB1622" s="5"/>
    </row>
    <row r="1623" spans="1:28" x14ac:dyDescent="0.35">
      <c r="A1623" s="3"/>
      <c r="B1623" s="4"/>
      <c r="C1623" s="4"/>
      <c r="D1623" s="4"/>
      <c r="E1623" s="4"/>
      <c r="F1623" s="4"/>
      <c r="G1623" s="4"/>
      <c r="H1623" s="4"/>
      <c r="I1623" s="4"/>
      <c r="J1623" s="4"/>
      <c r="K1623" s="4"/>
      <c r="L1623" s="4"/>
      <c r="M1623" s="4"/>
      <c r="N1623" s="4"/>
      <c r="O1623" s="4"/>
      <c r="P1623" s="4"/>
      <c r="Q1623" s="4"/>
      <c r="R1623" s="4"/>
      <c r="S1623" s="4"/>
      <c r="T1623" s="4"/>
      <c r="U1623" s="4"/>
      <c r="V1623" s="4"/>
      <c r="W1623" s="4"/>
      <c r="X1623" s="4"/>
      <c r="Y1623" s="4"/>
      <c r="Z1623" s="4"/>
      <c r="AA1623" s="4"/>
      <c r="AB1623" s="5"/>
    </row>
    <row r="1624" spans="1:28" x14ac:dyDescent="0.35">
      <c r="A1624" s="3"/>
      <c r="B1624" s="4"/>
      <c r="C1624" s="4"/>
      <c r="D1624" s="4"/>
      <c r="E1624" s="4"/>
      <c r="F1624" s="4"/>
      <c r="G1624" s="4"/>
      <c r="H1624" s="4"/>
      <c r="I1624" s="4"/>
      <c r="J1624" s="4"/>
      <c r="K1624" s="4"/>
      <c r="L1624" s="4"/>
      <c r="M1624" s="4"/>
      <c r="N1624" s="4"/>
      <c r="O1624" s="4"/>
      <c r="P1624" s="4"/>
      <c r="Q1624" s="4"/>
      <c r="R1624" s="4"/>
      <c r="S1624" s="4"/>
      <c r="T1624" s="4"/>
      <c r="U1624" s="4"/>
      <c r="V1624" s="4"/>
      <c r="W1624" s="4"/>
      <c r="X1624" s="4"/>
      <c r="Y1624" s="4"/>
      <c r="Z1624" s="4"/>
      <c r="AA1624" s="4"/>
      <c r="AB1624" s="5"/>
    </row>
    <row r="1625" spans="1:28" x14ac:dyDescent="0.35">
      <c r="A1625" s="3"/>
      <c r="B1625" s="4"/>
      <c r="C1625" s="4"/>
      <c r="D1625" s="4"/>
      <c r="E1625" s="4"/>
      <c r="F1625" s="4"/>
      <c r="G1625" s="4"/>
      <c r="H1625" s="4"/>
      <c r="I1625" s="4"/>
      <c r="J1625" s="4"/>
      <c r="K1625" s="4"/>
      <c r="L1625" s="4"/>
      <c r="M1625" s="4"/>
      <c r="N1625" s="4"/>
      <c r="O1625" s="4"/>
      <c r="P1625" s="4"/>
      <c r="Q1625" s="4"/>
      <c r="R1625" s="4"/>
      <c r="S1625" s="4"/>
      <c r="T1625" s="4"/>
      <c r="U1625" s="4"/>
      <c r="V1625" s="4"/>
      <c r="W1625" s="4"/>
      <c r="X1625" s="4"/>
      <c r="Y1625" s="4"/>
      <c r="Z1625" s="4"/>
      <c r="AA1625" s="4"/>
      <c r="AB1625" s="5"/>
    </row>
    <row r="1626" spans="1:28" x14ac:dyDescent="0.35">
      <c r="A1626" s="3"/>
      <c r="B1626" s="4"/>
      <c r="C1626" s="4"/>
      <c r="D1626" s="4"/>
      <c r="E1626" s="4"/>
      <c r="F1626" s="4"/>
      <c r="G1626" s="4"/>
      <c r="H1626" s="4"/>
      <c r="I1626" s="4"/>
      <c r="J1626" s="4"/>
      <c r="K1626" s="4"/>
      <c r="L1626" s="4"/>
      <c r="M1626" s="4"/>
      <c r="N1626" s="4"/>
      <c r="O1626" s="4"/>
      <c r="P1626" s="4"/>
      <c r="Q1626" s="4"/>
      <c r="R1626" s="4"/>
      <c r="S1626" s="4"/>
      <c r="T1626" s="4"/>
      <c r="U1626" s="4"/>
      <c r="V1626" s="4"/>
      <c r="W1626" s="4"/>
      <c r="X1626" s="4"/>
      <c r="Y1626" s="4"/>
      <c r="Z1626" s="4"/>
      <c r="AA1626" s="4"/>
      <c r="AB1626" s="5"/>
    </row>
    <row r="1627" spans="1:28" x14ac:dyDescent="0.35">
      <c r="A1627" s="3"/>
      <c r="B1627" s="4"/>
      <c r="C1627" s="4"/>
      <c r="D1627" s="4"/>
      <c r="E1627" s="4"/>
      <c r="F1627" s="4"/>
      <c r="G1627" s="4"/>
      <c r="H1627" s="4"/>
      <c r="I1627" s="4"/>
      <c r="J1627" s="4"/>
      <c r="K1627" s="4"/>
      <c r="L1627" s="4"/>
      <c r="M1627" s="4"/>
      <c r="N1627" s="4"/>
      <c r="O1627" s="4"/>
      <c r="P1627" s="4"/>
      <c r="Q1627" s="4"/>
      <c r="R1627" s="4"/>
      <c r="S1627" s="4"/>
      <c r="T1627" s="4"/>
      <c r="U1627" s="4"/>
      <c r="V1627" s="4"/>
      <c r="W1627" s="4"/>
      <c r="X1627" s="4"/>
      <c r="Y1627" s="4"/>
      <c r="Z1627" s="4"/>
      <c r="AA1627" s="4"/>
      <c r="AB1627" s="5"/>
    </row>
    <row r="1628" spans="1:28" x14ac:dyDescent="0.35">
      <c r="A1628" s="3"/>
      <c r="B1628" s="4"/>
      <c r="C1628" s="4"/>
      <c r="D1628" s="4"/>
      <c r="E1628" s="4"/>
      <c r="F1628" s="4"/>
      <c r="G1628" s="4"/>
      <c r="H1628" s="4"/>
      <c r="I1628" s="4"/>
      <c r="J1628" s="4"/>
      <c r="K1628" s="4"/>
      <c r="L1628" s="4"/>
      <c r="M1628" s="4"/>
      <c r="N1628" s="4"/>
      <c r="O1628" s="4"/>
      <c r="P1628" s="4"/>
      <c r="Q1628" s="4"/>
      <c r="R1628" s="4"/>
      <c r="S1628" s="4"/>
      <c r="T1628" s="4"/>
      <c r="U1628" s="4"/>
      <c r="V1628" s="4"/>
      <c r="W1628" s="4"/>
      <c r="X1628" s="4"/>
      <c r="Y1628" s="4"/>
      <c r="Z1628" s="4"/>
      <c r="AA1628" s="4"/>
      <c r="AB1628" s="5"/>
    </row>
    <row r="1629" spans="1:28" x14ac:dyDescent="0.35">
      <c r="A1629" s="3"/>
      <c r="B1629" s="4"/>
      <c r="C1629" s="4"/>
      <c r="D1629" s="4"/>
      <c r="E1629" s="4"/>
      <c r="F1629" s="4"/>
      <c r="G1629" s="4"/>
      <c r="H1629" s="4"/>
      <c r="I1629" s="4"/>
      <c r="J1629" s="4"/>
      <c r="K1629" s="4"/>
      <c r="L1629" s="4"/>
      <c r="M1629" s="4"/>
      <c r="N1629" s="4"/>
      <c r="O1629" s="4"/>
      <c r="P1629" s="4"/>
      <c r="Q1629" s="4"/>
      <c r="R1629" s="4"/>
      <c r="S1629" s="4"/>
      <c r="T1629" s="4"/>
      <c r="U1629" s="4"/>
      <c r="V1629" s="4"/>
      <c r="W1629" s="4"/>
      <c r="X1629" s="4"/>
      <c r="Y1629" s="4"/>
      <c r="Z1629" s="4"/>
      <c r="AA1629" s="4"/>
      <c r="AB1629" s="5"/>
    </row>
    <row r="1630" spans="1:28" x14ac:dyDescent="0.35">
      <c r="A1630" s="3"/>
      <c r="B1630" s="4"/>
      <c r="C1630" s="4"/>
      <c r="D1630" s="4"/>
      <c r="E1630" s="4"/>
      <c r="F1630" s="4"/>
      <c r="G1630" s="4"/>
      <c r="H1630" s="4"/>
      <c r="I1630" s="4"/>
      <c r="J1630" s="4"/>
      <c r="K1630" s="4"/>
      <c r="L1630" s="4"/>
      <c r="M1630" s="4"/>
      <c r="N1630" s="4"/>
      <c r="O1630" s="4"/>
      <c r="P1630" s="4"/>
      <c r="Q1630" s="4"/>
      <c r="R1630" s="4"/>
      <c r="S1630" s="4"/>
      <c r="T1630" s="4"/>
      <c r="U1630" s="4"/>
      <c r="V1630" s="4"/>
      <c r="W1630" s="4"/>
      <c r="X1630" s="4"/>
      <c r="Y1630" s="4"/>
      <c r="Z1630" s="4"/>
      <c r="AA1630" s="4"/>
      <c r="AB1630" s="5"/>
    </row>
    <row r="1631" spans="1:28" x14ac:dyDescent="0.35">
      <c r="A1631" s="3"/>
      <c r="B1631" s="4"/>
      <c r="C1631" s="4"/>
      <c r="D1631" s="4"/>
      <c r="E1631" s="4"/>
      <c r="F1631" s="4"/>
      <c r="G1631" s="4"/>
      <c r="H1631" s="4"/>
      <c r="I1631" s="4"/>
      <c r="J1631" s="4"/>
      <c r="K1631" s="4"/>
      <c r="L1631" s="4"/>
      <c r="M1631" s="4"/>
      <c r="N1631" s="4"/>
      <c r="O1631" s="4"/>
      <c r="P1631" s="4"/>
      <c r="Q1631" s="4"/>
      <c r="R1631" s="4"/>
      <c r="S1631" s="4"/>
      <c r="T1631" s="4"/>
      <c r="U1631" s="4"/>
      <c r="V1631" s="4"/>
      <c r="W1631" s="4"/>
      <c r="X1631" s="4"/>
      <c r="Y1631" s="4"/>
      <c r="Z1631" s="4"/>
      <c r="AA1631" s="4"/>
      <c r="AB1631" s="5"/>
    </row>
    <row r="1632" spans="1:28" x14ac:dyDescent="0.35">
      <c r="A1632" s="3"/>
      <c r="B1632" s="4"/>
      <c r="C1632" s="4"/>
      <c r="D1632" s="4"/>
      <c r="E1632" s="4"/>
      <c r="F1632" s="4"/>
      <c r="G1632" s="4"/>
      <c r="H1632" s="4"/>
      <c r="I1632" s="4"/>
      <c r="J1632" s="4"/>
      <c r="K1632" s="4"/>
      <c r="L1632" s="4"/>
      <c r="M1632" s="4"/>
      <c r="N1632" s="4"/>
      <c r="O1632" s="4"/>
      <c r="P1632" s="4"/>
      <c r="Q1632" s="4"/>
      <c r="R1632" s="4"/>
      <c r="S1632" s="4"/>
      <c r="T1632" s="4"/>
      <c r="U1632" s="4"/>
      <c r="V1632" s="4"/>
      <c r="W1632" s="4"/>
      <c r="X1632" s="4"/>
      <c r="Y1632" s="4"/>
      <c r="Z1632" s="4"/>
      <c r="AA1632" s="4"/>
      <c r="AB1632" s="5"/>
    </row>
    <row r="1633" spans="1:28" x14ac:dyDescent="0.35">
      <c r="A1633" s="3"/>
      <c r="B1633" s="4"/>
      <c r="C1633" s="4"/>
      <c r="D1633" s="4"/>
      <c r="E1633" s="4"/>
      <c r="F1633" s="4"/>
      <c r="G1633" s="4"/>
      <c r="H1633" s="4"/>
      <c r="I1633" s="4"/>
      <c r="J1633" s="4"/>
      <c r="K1633" s="4"/>
      <c r="L1633" s="4"/>
      <c r="M1633" s="4"/>
      <c r="N1633" s="4"/>
      <c r="O1633" s="4"/>
      <c r="P1633" s="4"/>
      <c r="Q1633" s="4"/>
      <c r="R1633" s="4"/>
      <c r="S1633" s="4"/>
      <c r="T1633" s="4"/>
      <c r="U1633" s="4"/>
      <c r="V1633" s="4"/>
      <c r="W1633" s="4"/>
      <c r="X1633" s="4"/>
      <c r="Y1633" s="4"/>
      <c r="Z1633" s="4"/>
      <c r="AA1633" s="4"/>
      <c r="AB1633" s="5"/>
    </row>
    <row r="1634" spans="1:28" x14ac:dyDescent="0.35">
      <c r="A1634" s="3"/>
      <c r="B1634" s="4"/>
      <c r="C1634" s="4"/>
      <c r="D1634" s="4"/>
      <c r="E1634" s="4"/>
      <c r="F1634" s="4"/>
      <c r="G1634" s="4"/>
      <c r="H1634" s="4"/>
      <c r="I1634" s="4"/>
      <c r="J1634" s="4"/>
      <c r="K1634" s="4"/>
      <c r="L1634" s="4"/>
      <c r="M1634" s="4"/>
      <c r="N1634" s="4"/>
      <c r="O1634" s="4"/>
      <c r="P1634" s="4"/>
      <c r="Q1634" s="4"/>
      <c r="R1634" s="4"/>
      <c r="S1634" s="4"/>
      <c r="T1634" s="4"/>
      <c r="U1634" s="4"/>
      <c r="V1634" s="4"/>
      <c r="W1634" s="4"/>
      <c r="X1634" s="4"/>
      <c r="Y1634" s="4"/>
      <c r="Z1634" s="4"/>
      <c r="AA1634" s="4"/>
      <c r="AB1634" s="5"/>
    </row>
    <row r="1635" spans="1:28" x14ac:dyDescent="0.35">
      <c r="A1635" s="3"/>
      <c r="B1635" s="4"/>
      <c r="C1635" s="4"/>
      <c r="D1635" s="4"/>
      <c r="E1635" s="4"/>
      <c r="F1635" s="4"/>
      <c r="G1635" s="4"/>
      <c r="H1635" s="4"/>
      <c r="I1635" s="4"/>
      <c r="J1635" s="4"/>
      <c r="K1635" s="4"/>
      <c r="L1635" s="4"/>
      <c r="M1635" s="4"/>
      <c r="N1635" s="4"/>
      <c r="O1635" s="4"/>
      <c r="P1635" s="4"/>
      <c r="Q1635" s="4"/>
      <c r="R1635" s="4"/>
      <c r="S1635" s="4"/>
      <c r="T1635" s="4"/>
      <c r="U1635" s="4"/>
      <c r="V1635" s="4"/>
      <c r="W1635" s="4"/>
      <c r="X1635" s="4"/>
      <c r="Y1635" s="4"/>
      <c r="Z1635" s="4"/>
      <c r="AA1635" s="4"/>
      <c r="AB1635" s="5"/>
    </row>
    <row r="1636" spans="1:28" x14ac:dyDescent="0.35">
      <c r="A1636" s="3"/>
      <c r="B1636" s="4"/>
      <c r="C1636" s="4"/>
      <c r="D1636" s="4"/>
      <c r="E1636" s="4"/>
      <c r="F1636" s="4"/>
      <c r="G1636" s="4"/>
      <c r="H1636" s="4"/>
      <c r="I1636" s="4"/>
      <c r="J1636" s="4"/>
      <c r="K1636" s="4"/>
      <c r="L1636" s="4"/>
      <c r="M1636" s="4"/>
      <c r="N1636" s="4"/>
      <c r="O1636" s="4"/>
      <c r="P1636" s="4"/>
      <c r="Q1636" s="4"/>
      <c r="R1636" s="4"/>
      <c r="S1636" s="4"/>
      <c r="T1636" s="4"/>
      <c r="U1636" s="4"/>
      <c r="V1636" s="4"/>
      <c r="W1636" s="4"/>
      <c r="X1636" s="4"/>
      <c r="Y1636" s="4"/>
      <c r="Z1636" s="4"/>
      <c r="AA1636" s="4"/>
      <c r="AB1636" s="5"/>
    </row>
    <row r="1637" spans="1:28" x14ac:dyDescent="0.35">
      <c r="A1637" s="3"/>
      <c r="B1637" s="4"/>
      <c r="C1637" s="4"/>
      <c r="D1637" s="4"/>
      <c r="E1637" s="4"/>
      <c r="F1637" s="4"/>
      <c r="G1637" s="4"/>
      <c r="H1637" s="4"/>
      <c r="I1637" s="4"/>
      <c r="J1637" s="4"/>
      <c r="K1637" s="4"/>
      <c r="L1637" s="4"/>
      <c r="M1637" s="4"/>
      <c r="N1637" s="4"/>
      <c r="O1637" s="4"/>
      <c r="P1637" s="4"/>
      <c r="Q1637" s="4"/>
      <c r="R1637" s="4"/>
      <c r="S1637" s="4"/>
      <c r="T1637" s="4"/>
      <c r="U1637" s="4"/>
      <c r="V1637" s="4"/>
      <c r="W1637" s="4"/>
      <c r="X1637" s="4"/>
      <c r="Y1637" s="4"/>
      <c r="Z1637" s="4"/>
      <c r="AA1637" s="4"/>
      <c r="AB1637" s="5"/>
    </row>
    <row r="1638" spans="1:28" x14ac:dyDescent="0.35">
      <c r="A1638" s="3"/>
      <c r="B1638" s="4"/>
      <c r="C1638" s="4"/>
      <c r="D1638" s="4"/>
      <c r="E1638" s="4"/>
      <c r="F1638" s="4"/>
      <c r="G1638" s="4"/>
      <c r="H1638" s="4"/>
      <c r="I1638" s="4"/>
      <c r="J1638" s="4"/>
      <c r="K1638" s="4"/>
      <c r="L1638" s="4"/>
      <c r="M1638" s="4"/>
      <c r="N1638" s="4"/>
      <c r="O1638" s="4"/>
      <c r="P1638" s="4"/>
      <c r="Q1638" s="4"/>
      <c r="R1638" s="4"/>
      <c r="S1638" s="4"/>
      <c r="T1638" s="4"/>
      <c r="U1638" s="4"/>
      <c r="V1638" s="4"/>
      <c r="W1638" s="4"/>
      <c r="X1638" s="4"/>
      <c r="Y1638" s="4"/>
      <c r="Z1638" s="4"/>
      <c r="AA1638" s="4"/>
      <c r="AB1638" s="5"/>
    </row>
    <row r="1639" spans="1:28" x14ac:dyDescent="0.35">
      <c r="A1639" s="3"/>
      <c r="B1639" s="4"/>
      <c r="C1639" s="4"/>
      <c r="D1639" s="4"/>
      <c r="E1639" s="4"/>
      <c r="F1639" s="4"/>
      <c r="G1639" s="4"/>
      <c r="H1639" s="4"/>
      <c r="I1639" s="4"/>
      <c r="J1639" s="4"/>
      <c r="K1639" s="4"/>
      <c r="L1639" s="4"/>
      <c r="M1639" s="4"/>
      <c r="N1639" s="4"/>
      <c r="O1639" s="4"/>
      <c r="P1639" s="4"/>
      <c r="Q1639" s="4"/>
      <c r="R1639" s="4"/>
      <c r="S1639" s="4"/>
      <c r="T1639" s="4"/>
      <c r="U1639" s="4"/>
      <c r="V1639" s="4"/>
      <c r="W1639" s="4"/>
      <c r="X1639" s="4"/>
      <c r="Y1639" s="4"/>
      <c r="Z1639" s="4"/>
      <c r="AA1639" s="4"/>
      <c r="AB1639" s="5"/>
    </row>
    <row r="1640" spans="1:28" x14ac:dyDescent="0.35">
      <c r="A1640" s="3"/>
      <c r="B1640" s="4"/>
      <c r="C1640" s="4"/>
      <c r="D1640" s="4"/>
      <c r="E1640" s="4"/>
      <c r="F1640" s="4"/>
      <c r="G1640" s="4"/>
      <c r="H1640" s="4"/>
      <c r="I1640" s="4"/>
      <c r="J1640" s="4"/>
      <c r="K1640" s="4"/>
      <c r="L1640" s="4"/>
      <c r="M1640" s="4"/>
      <c r="N1640" s="4"/>
      <c r="O1640" s="4"/>
      <c r="P1640" s="4"/>
      <c r="Q1640" s="4"/>
      <c r="R1640" s="4"/>
      <c r="S1640" s="4"/>
      <c r="T1640" s="4"/>
      <c r="U1640" s="4"/>
      <c r="V1640" s="4"/>
      <c r="W1640" s="4"/>
      <c r="X1640" s="4"/>
      <c r="Y1640" s="4"/>
      <c r="Z1640" s="4"/>
      <c r="AA1640" s="4"/>
      <c r="AB1640" s="5"/>
    </row>
    <row r="1641" spans="1:28" x14ac:dyDescent="0.35">
      <c r="A1641" s="3"/>
      <c r="B1641" s="4"/>
      <c r="C1641" s="4"/>
      <c r="D1641" s="4"/>
      <c r="E1641" s="4"/>
      <c r="F1641" s="4"/>
      <c r="G1641" s="4"/>
      <c r="H1641" s="4"/>
      <c r="I1641" s="4"/>
      <c r="J1641" s="4"/>
      <c r="K1641" s="4"/>
      <c r="L1641" s="4"/>
      <c r="M1641" s="4"/>
      <c r="N1641" s="4"/>
      <c r="O1641" s="4"/>
      <c r="P1641" s="4"/>
      <c r="Q1641" s="4"/>
      <c r="R1641" s="4"/>
      <c r="S1641" s="4"/>
      <c r="T1641" s="4"/>
      <c r="U1641" s="4"/>
      <c r="V1641" s="4"/>
      <c r="W1641" s="4"/>
      <c r="X1641" s="4"/>
      <c r="Y1641" s="4"/>
      <c r="Z1641" s="4"/>
      <c r="AA1641" s="4"/>
      <c r="AB1641" s="5"/>
    </row>
    <row r="1642" spans="1:28" x14ac:dyDescent="0.35">
      <c r="A1642" s="3"/>
      <c r="B1642" s="4"/>
      <c r="C1642" s="4"/>
      <c r="D1642" s="4"/>
      <c r="E1642" s="4"/>
      <c r="F1642" s="4"/>
      <c r="G1642" s="4"/>
      <c r="H1642" s="4"/>
      <c r="I1642" s="4"/>
      <c r="J1642" s="4"/>
      <c r="K1642" s="4"/>
      <c r="L1642" s="4"/>
      <c r="M1642" s="4"/>
      <c r="N1642" s="4"/>
      <c r="O1642" s="4"/>
      <c r="P1642" s="4"/>
      <c r="Q1642" s="4"/>
      <c r="R1642" s="4"/>
      <c r="S1642" s="4"/>
      <c r="T1642" s="4"/>
      <c r="U1642" s="4"/>
      <c r="V1642" s="4"/>
      <c r="W1642" s="4"/>
      <c r="X1642" s="4"/>
      <c r="Y1642" s="4"/>
      <c r="Z1642" s="4"/>
      <c r="AA1642" s="4"/>
      <c r="AB1642" s="5"/>
    </row>
    <row r="1643" spans="1:28" x14ac:dyDescent="0.35">
      <c r="A1643" s="3"/>
      <c r="B1643" s="4"/>
      <c r="C1643" s="4"/>
      <c r="D1643" s="4"/>
      <c r="E1643" s="4"/>
      <c r="F1643" s="4"/>
      <c r="G1643" s="4"/>
      <c r="H1643" s="4"/>
      <c r="I1643" s="4"/>
      <c r="J1643" s="4"/>
      <c r="K1643" s="4"/>
      <c r="L1643" s="4"/>
      <c r="M1643" s="4"/>
      <c r="N1643" s="4"/>
      <c r="O1643" s="4"/>
      <c r="P1643" s="4"/>
      <c r="Q1643" s="4"/>
      <c r="R1643" s="4"/>
      <c r="S1643" s="4"/>
      <c r="T1643" s="4"/>
      <c r="U1643" s="4"/>
      <c r="V1643" s="4"/>
      <c r="W1643" s="4"/>
      <c r="X1643" s="4"/>
      <c r="Y1643" s="4"/>
      <c r="Z1643" s="4"/>
      <c r="AA1643" s="4"/>
      <c r="AB1643" s="5"/>
    </row>
    <row r="1644" spans="1:28" x14ac:dyDescent="0.35">
      <c r="A1644" s="3"/>
      <c r="B1644" s="4"/>
      <c r="C1644" s="4"/>
      <c r="D1644" s="4"/>
      <c r="E1644" s="4"/>
      <c r="F1644" s="4"/>
      <c r="G1644" s="4"/>
      <c r="H1644" s="4"/>
      <c r="I1644" s="4"/>
      <c r="J1644" s="4"/>
      <c r="K1644" s="4"/>
      <c r="L1644" s="4"/>
      <c r="M1644" s="4"/>
      <c r="N1644" s="4"/>
      <c r="O1644" s="4"/>
      <c r="P1644" s="4"/>
      <c r="Q1644" s="4"/>
      <c r="R1644" s="4"/>
      <c r="S1644" s="4"/>
      <c r="T1644" s="4"/>
      <c r="U1644" s="4"/>
      <c r="V1644" s="4"/>
      <c r="W1644" s="4"/>
      <c r="X1644" s="4"/>
      <c r="Y1644" s="4"/>
      <c r="Z1644" s="4"/>
      <c r="AA1644" s="4"/>
      <c r="AB1644" s="5"/>
    </row>
    <row r="1645" spans="1:28" x14ac:dyDescent="0.35">
      <c r="A1645" s="3"/>
      <c r="B1645" s="4"/>
      <c r="C1645" s="4"/>
      <c r="D1645" s="4"/>
      <c r="E1645" s="4"/>
      <c r="F1645" s="4"/>
      <c r="G1645" s="4"/>
      <c r="H1645" s="4"/>
      <c r="I1645" s="4"/>
      <c r="J1645" s="4"/>
      <c r="K1645" s="4"/>
      <c r="L1645" s="4"/>
      <c r="M1645" s="4"/>
      <c r="N1645" s="4"/>
      <c r="O1645" s="4"/>
      <c r="P1645" s="4"/>
      <c r="Q1645" s="4"/>
      <c r="R1645" s="4"/>
      <c r="S1645" s="4"/>
      <c r="T1645" s="4"/>
      <c r="U1645" s="4"/>
      <c r="V1645" s="4"/>
      <c r="W1645" s="4"/>
      <c r="X1645" s="4"/>
      <c r="Y1645" s="4"/>
      <c r="Z1645" s="4"/>
      <c r="AA1645" s="4"/>
      <c r="AB1645" s="5"/>
    </row>
    <row r="1646" spans="1:28" x14ac:dyDescent="0.35">
      <c r="A1646" s="3"/>
      <c r="B1646" s="4"/>
      <c r="C1646" s="4"/>
      <c r="D1646" s="4"/>
      <c r="E1646" s="4"/>
      <c r="F1646" s="4"/>
      <c r="G1646" s="4"/>
      <c r="H1646" s="4"/>
      <c r="I1646" s="4"/>
      <c r="J1646" s="4"/>
      <c r="K1646" s="4"/>
      <c r="L1646" s="4"/>
      <c r="M1646" s="4"/>
      <c r="N1646" s="4"/>
      <c r="O1646" s="4"/>
      <c r="P1646" s="4"/>
      <c r="Q1646" s="4"/>
      <c r="R1646" s="4"/>
      <c r="S1646" s="4"/>
      <c r="T1646" s="4"/>
      <c r="U1646" s="4"/>
      <c r="V1646" s="4"/>
      <c r="W1646" s="4"/>
      <c r="X1646" s="4"/>
      <c r="Y1646" s="4"/>
      <c r="Z1646" s="4"/>
      <c r="AA1646" s="4"/>
      <c r="AB1646" s="5"/>
    </row>
    <row r="1647" spans="1:28" x14ac:dyDescent="0.35">
      <c r="A1647" s="3"/>
      <c r="B1647" s="4"/>
      <c r="C1647" s="4"/>
      <c r="D1647" s="4"/>
      <c r="E1647" s="4"/>
      <c r="F1647" s="4"/>
      <c r="G1647" s="4"/>
      <c r="H1647" s="4"/>
      <c r="I1647" s="4"/>
      <c r="J1647" s="4"/>
      <c r="K1647" s="4"/>
      <c r="L1647" s="4"/>
      <c r="M1647" s="4"/>
      <c r="N1647" s="4"/>
      <c r="O1647" s="4"/>
      <c r="P1647" s="4"/>
      <c r="Q1647" s="4"/>
      <c r="R1647" s="4"/>
      <c r="S1647" s="4"/>
      <c r="T1647" s="4"/>
      <c r="U1647" s="4"/>
      <c r="V1647" s="4"/>
      <c r="W1647" s="4"/>
      <c r="X1647" s="4"/>
      <c r="Y1647" s="4"/>
      <c r="Z1647" s="4"/>
      <c r="AA1647" s="4"/>
      <c r="AB1647" s="5"/>
    </row>
    <row r="1648" spans="1:28" x14ac:dyDescent="0.35">
      <c r="A1648" s="3"/>
      <c r="B1648" s="4"/>
      <c r="C1648" s="4"/>
      <c r="D1648" s="4"/>
      <c r="E1648" s="4"/>
      <c r="F1648" s="4"/>
      <c r="G1648" s="4"/>
      <c r="H1648" s="4"/>
      <c r="I1648" s="4"/>
      <c r="J1648" s="4"/>
      <c r="K1648" s="4"/>
      <c r="L1648" s="4"/>
      <c r="M1648" s="4"/>
      <c r="N1648" s="4"/>
      <c r="O1648" s="4"/>
      <c r="P1648" s="4"/>
      <c r="Q1648" s="4"/>
      <c r="R1648" s="4"/>
      <c r="S1648" s="4"/>
      <c r="T1648" s="4"/>
      <c r="U1648" s="4"/>
      <c r="V1648" s="4"/>
      <c r="W1648" s="4"/>
      <c r="X1648" s="4"/>
      <c r="Y1648" s="4"/>
      <c r="Z1648" s="4"/>
      <c r="AA1648" s="4"/>
      <c r="AB1648" s="5"/>
    </row>
    <row r="1649" spans="1:28" x14ac:dyDescent="0.35">
      <c r="A1649" s="3"/>
      <c r="B1649" s="4"/>
      <c r="C1649" s="4"/>
      <c r="D1649" s="4"/>
      <c r="E1649" s="4"/>
      <c r="F1649" s="4"/>
      <c r="G1649" s="4"/>
      <c r="H1649" s="4"/>
      <c r="I1649" s="4"/>
      <c r="J1649" s="4"/>
      <c r="K1649" s="4"/>
      <c r="L1649" s="4"/>
      <c r="M1649" s="4"/>
      <c r="N1649" s="4"/>
      <c r="O1649" s="4"/>
      <c r="P1649" s="4"/>
      <c r="Q1649" s="4"/>
      <c r="R1649" s="4"/>
      <c r="S1649" s="4"/>
      <c r="T1649" s="4"/>
      <c r="U1649" s="4"/>
      <c r="V1649" s="4"/>
      <c r="W1649" s="4"/>
      <c r="X1649" s="4"/>
      <c r="Y1649" s="4"/>
      <c r="Z1649" s="4"/>
      <c r="AA1649" s="4"/>
      <c r="AB1649" s="5"/>
    </row>
    <row r="1650" spans="1:28" x14ac:dyDescent="0.35">
      <c r="A1650" s="3"/>
      <c r="B1650" s="4"/>
      <c r="C1650" s="4"/>
      <c r="D1650" s="4"/>
      <c r="E1650" s="4"/>
      <c r="F1650" s="4"/>
      <c r="G1650" s="4"/>
      <c r="H1650" s="4"/>
      <c r="I1650" s="4"/>
      <c r="J1650" s="4"/>
      <c r="K1650" s="4"/>
      <c r="L1650" s="4"/>
      <c r="M1650" s="4"/>
      <c r="N1650" s="4"/>
      <c r="O1650" s="4"/>
      <c r="P1650" s="4"/>
      <c r="Q1650" s="4"/>
      <c r="R1650" s="4"/>
      <c r="S1650" s="4"/>
      <c r="T1650" s="4"/>
      <c r="U1650" s="4"/>
      <c r="V1650" s="4"/>
      <c r="W1650" s="4"/>
      <c r="X1650" s="4"/>
      <c r="Y1650" s="4"/>
      <c r="Z1650" s="4"/>
      <c r="AA1650" s="4"/>
      <c r="AB1650" s="5"/>
    </row>
    <row r="1651" spans="1:28" x14ac:dyDescent="0.35">
      <c r="A1651" s="3"/>
      <c r="B1651" s="4"/>
      <c r="C1651" s="4"/>
      <c r="D1651" s="4"/>
      <c r="E1651" s="4"/>
      <c r="F1651" s="4"/>
      <c r="G1651" s="4"/>
      <c r="H1651" s="4"/>
      <c r="I1651" s="4"/>
      <c r="J1651" s="4"/>
      <c r="K1651" s="4"/>
      <c r="L1651" s="4"/>
      <c r="M1651" s="4"/>
      <c r="N1651" s="4"/>
      <c r="O1651" s="4"/>
      <c r="P1651" s="4"/>
      <c r="Q1651" s="4"/>
      <c r="R1651" s="4"/>
      <c r="S1651" s="4"/>
      <c r="T1651" s="4"/>
      <c r="U1651" s="4"/>
      <c r="V1651" s="4"/>
      <c r="W1651" s="4"/>
      <c r="X1651" s="4"/>
      <c r="Y1651" s="4"/>
      <c r="Z1651" s="4"/>
      <c r="AA1651" s="4"/>
      <c r="AB1651" s="5"/>
    </row>
    <row r="1652" spans="1:28" x14ac:dyDescent="0.35">
      <c r="A1652" s="3"/>
      <c r="B1652" s="4"/>
      <c r="C1652" s="4"/>
      <c r="D1652" s="4"/>
      <c r="E1652" s="4"/>
      <c r="F1652" s="4"/>
      <c r="G1652" s="4"/>
      <c r="H1652" s="4"/>
      <c r="I1652" s="4"/>
      <c r="J1652" s="4"/>
      <c r="K1652" s="4"/>
      <c r="L1652" s="4"/>
      <c r="M1652" s="4"/>
      <c r="N1652" s="4"/>
      <c r="O1652" s="4"/>
      <c r="P1652" s="4"/>
      <c r="Q1652" s="4"/>
      <c r="R1652" s="4"/>
      <c r="S1652" s="4"/>
      <c r="T1652" s="4"/>
      <c r="U1652" s="4"/>
      <c r="V1652" s="4"/>
      <c r="W1652" s="4"/>
      <c r="X1652" s="4"/>
      <c r="Y1652" s="4"/>
      <c r="Z1652" s="4"/>
      <c r="AA1652" s="4"/>
      <c r="AB1652" s="5"/>
    </row>
    <row r="1653" spans="1:28" x14ac:dyDescent="0.35">
      <c r="A1653" s="3"/>
      <c r="B1653" s="4"/>
      <c r="C1653" s="4"/>
      <c r="D1653" s="4"/>
      <c r="E1653" s="4"/>
      <c r="F1653" s="4"/>
      <c r="G1653" s="4"/>
      <c r="H1653" s="4"/>
      <c r="I1653" s="4"/>
      <c r="J1653" s="4"/>
      <c r="K1653" s="4"/>
      <c r="L1653" s="4"/>
      <c r="M1653" s="4"/>
      <c r="N1653" s="4"/>
      <c r="O1653" s="4"/>
      <c r="P1653" s="4"/>
      <c r="Q1653" s="4"/>
      <c r="R1653" s="4"/>
      <c r="S1653" s="4"/>
      <c r="T1653" s="4"/>
      <c r="U1653" s="4"/>
      <c r="V1653" s="4"/>
      <c r="W1653" s="4"/>
      <c r="X1653" s="4"/>
      <c r="Y1653" s="4"/>
      <c r="Z1653" s="4"/>
      <c r="AA1653" s="4"/>
      <c r="AB1653" s="5"/>
    </row>
    <row r="1654" spans="1:28" x14ac:dyDescent="0.35">
      <c r="A1654" s="3"/>
      <c r="B1654" s="4"/>
      <c r="C1654" s="4"/>
      <c r="D1654" s="4"/>
      <c r="E1654" s="4"/>
      <c r="F1654" s="4"/>
      <c r="G1654" s="4"/>
      <c r="H1654" s="4"/>
      <c r="I1654" s="4"/>
      <c r="J1654" s="4"/>
      <c r="K1654" s="4"/>
      <c r="L1654" s="4"/>
      <c r="M1654" s="4"/>
      <c r="N1654" s="4"/>
      <c r="O1654" s="4"/>
      <c r="P1654" s="4"/>
      <c r="Q1654" s="4"/>
      <c r="R1654" s="4"/>
      <c r="S1654" s="4"/>
      <c r="T1654" s="4"/>
      <c r="U1654" s="4"/>
      <c r="V1654" s="4"/>
      <c r="W1654" s="4"/>
      <c r="X1654" s="4"/>
      <c r="Y1654" s="4"/>
      <c r="Z1654" s="4"/>
      <c r="AA1654" s="4"/>
      <c r="AB1654" s="5"/>
    </row>
    <row r="1655" spans="1:28" x14ac:dyDescent="0.35">
      <c r="A1655" s="3"/>
      <c r="B1655" s="4"/>
      <c r="C1655" s="4"/>
      <c r="D1655" s="4"/>
      <c r="E1655" s="4"/>
      <c r="F1655" s="4"/>
      <c r="G1655" s="4"/>
      <c r="H1655" s="4"/>
      <c r="I1655" s="4"/>
      <c r="J1655" s="4"/>
      <c r="K1655" s="4"/>
      <c r="L1655" s="4"/>
      <c r="M1655" s="4"/>
      <c r="N1655" s="4"/>
      <c r="O1655" s="4"/>
      <c r="P1655" s="4"/>
      <c r="Q1655" s="4"/>
      <c r="R1655" s="4"/>
      <c r="S1655" s="4"/>
      <c r="T1655" s="4"/>
      <c r="U1655" s="4"/>
      <c r="V1655" s="4"/>
      <c r="W1655" s="4"/>
      <c r="X1655" s="4"/>
      <c r="Y1655" s="4"/>
      <c r="Z1655" s="4"/>
      <c r="AA1655" s="4"/>
      <c r="AB1655" s="5"/>
    </row>
    <row r="1656" spans="1:28" x14ac:dyDescent="0.35">
      <c r="A1656" s="3"/>
      <c r="B1656" s="4"/>
      <c r="C1656" s="4"/>
      <c r="D1656" s="4"/>
      <c r="E1656" s="4"/>
      <c r="F1656" s="4"/>
      <c r="G1656" s="4"/>
      <c r="H1656" s="4"/>
      <c r="I1656" s="4"/>
      <c r="J1656" s="4"/>
      <c r="K1656" s="4"/>
      <c r="L1656" s="4"/>
      <c r="M1656" s="4"/>
      <c r="N1656" s="4"/>
      <c r="O1656" s="4"/>
      <c r="P1656" s="4"/>
      <c r="Q1656" s="4"/>
      <c r="R1656" s="4"/>
      <c r="S1656" s="4"/>
      <c r="T1656" s="4"/>
      <c r="U1656" s="4"/>
      <c r="V1656" s="4"/>
      <c r="W1656" s="4"/>
      <c r="X1656" s="4"/>
      <c r="Y1656" s="4"/>
      <c r="Z1656" s="4"/>
      <c r="AA1656" s="4"/>
      <c r="AB1656" s="5"/>
    </row>
    <row r="1657" spans="1:28" x14ac:dyDescent="0.35">
      <c r="A1657" s="3"/>
      <c r="B1657" s="4"/>
      <c r="C1657" s="4"/>
      <c r="D1657" s="4"/>
      <c r="E1657" s="4"/>
      <c r="F1657" s="4"/>
      <c r="G1657" s="4"/>
      <c r="H1657" s="4"/>
      <c r="I1657" s="4"/>
      <c r="J1657" s="4"/>
      <c r="K1657" s="4"/>
      <c r="L1657" s="4"/>
      <c r="M1657" s="4"/>
      <c r="N1657" s="4"/>
      <c r="O1657" s="4"/>
      <c r="P1657" s="4"/>
      <c r="Q1657" s="4"/>
      <c r="R1657" s="4"/>
      <c r="S1657" s="4"/>
      <c r="T1657" s="4"/>
      <c r="U1657" s="4"/>
      <c r="V1657" s="4"/>
      <c r="W1657" s="4"/>
      <c r="X1657" s="4"/>
      <c r="Y1657" s="4"/>
      <c r="Z1657" s="4"/>
      <c r="AA1657" s="4"/>
      <c r="AB1657" s="5"/>
    </row>
    <row r="1658" spans="1:28" x14ac:dyDescent="0.35">
      <c r="A1658" s="3"/>
      <c r="B1658" s="4"/>
      <c r="C1658" s="4"/>
      <c r="D1658" s="4"/>
      <c r="E1658" s="4"/>
      <c r="F1658" s="4"/>
      <c r="G1658" s="4"/>
      <c r="H1658" s="4"/>
      <c r="I1658" s="4"/>
      <c r="J1658" s="4"/>
      <c r="K1658" s="4"/>
      <c r="L1658" s="4"/>
      <c r="M1658" s="4"/>
      <c r="N1658" s="4"/>
      <c r="O1658" s="4"/>
      <c r="P1658" s="4"/>
      <c r="Q1658" s="4"/>
      <c r="R1658" s="4"/>
      <c r="S1658" s="4"/>
      <c r="T1658" s="4"/>
      <c r="U1658" s="4"/>
      <c r="V1658" s="4"/>
      <c r="W1658" s="4"/>
      <c r="X1658" s="4"/>
      <c r="Y1658" s="4"/>
      <c r="Z1658" s="4"/>
      <c r="AA1658" s="4"/>
      <c r="AB1658" s="5"/>
    </row>
    <row r="1659" spans="1:28" x14ac:dyDescent="0.35">
      <c r="A1659" s="3"/>
      <c r="B1659" s="4"/>
      <c r="C1659" s="4"/>
      <c r="D1659" s="4"/>
      <c r="E1659" s="4"/>
      <c r="F1659" s="4"/>
      <c r="G1659" s="4"/>
      <c r="H1659" s="4"/>
      <c r="I1659" s="4"/>
      <c r="J1659" s="4"/>
      <c r="K1659" s="4"/>
      <c r="L1659" s="4"/>
      <c r="M1659" s="4"/>
      <c r="N1659" s="4"/>
      <c r="O1659" s="4"/>
      <c r="P1659" s="4"/>
      <c r="Q1659" s="4"/>
      <c r="R1659" s="4"/>
      <c r="S1659" s="4"/>
      <c r="T1659" s="4"/>
      <c r="U1659" s="4"/>
      <c r="V1659" s="4"/>
      <c r="W1659" s="4"/>
      <c r="X1659" s="4"/>
      <c r="Y1659" s="4"/>
      <c r="Z1659" s="4"/>
      <c r="AA1659" s="4"/>
      <c r="AB1659" s="5"/>
    </row>
    <row r="1660" spans="1:28" x14ac:dyDescent="0.35">
      <c r="A1660" s="3"/>
      <c r="B1660" s="4"/>
      <c r="C1660" s="4"/>
      <c r="D1660" s="4"/>
      <c r="E1660" s="4"/>
      <c r="F1660" s="4"/>
      <c r="G1660" s="4"/>
      <c r="H1660" s="4"/>
      <c r="I1660" s="4"/>
      <c r="J1660" s="4"/>
      <c r="K1660" s="4"/>
      <c r="L1660" s="4"/>
      <c r="M1660" s="4"/>
      <c r="N1660" s="4"/>
      <c r="O1660" s="4"/>
      <c r="P1660" s="4"/>
      <c r="Q1660" s="4"/>
      <c r="R1660" s="4"/>
      <c r="S1660" s="4"/>
      <c r="T1660" s="4"/>
      <c r="U1660" s="4"/>
      <c r="V1660" s="4"/>
      <c r="W1660" s="4"/>
      <c r="X1660" s="4"/>
      <c r="Y1660" s="4"/>
      <c r="Z1660" s="4"/>
      <c r="AA1660" s="4"/>
      <c r="AB1660" s="5"/>
    </row>
    <row r="1661" spans="1:28" x14ac:dyDescent="0.35">
      <c r="A1661" s="3"/>
      <c r="B1661" s="4"/>
      <c r="C1661" s="4"/>
      <c r="D1661" s="4"/>
      <c r="E1661" s="4"/>
      <c r="F1661" s="4"/>
      <c r="G1661" s="4"/>
      <c r="H1661" s="4"/>
      <c r="I1661" s="4"/>
      <c r="J1661" s="4"/>
      <c r="K1661" s="4"/>
      <c r="L1661" s="4"/>
      <c r="M1661" s="4"/>
      <c r="N1661" s="4"/>
      <c r="O1661" s="4"/>
      <c r="P1661" s="4"/>
      <c r="Q1661" s="4"/>
      <c r="R1661" s="4"/>
      <c r="S1661" s="4"/>
      <c r="T1661" s="4"/>
      <c r="U1661" s="4"/>
      <c r="V1661" s="4"/>
      <c r="W1661" s="4"/>
      <c r="X1661" s="4"/>
      <c r="Y1661" s="4"/>
      <c r="Z1661" s="4"/>
      <c r="AA1661" s="4"/>
      <c r="AB1661" s="5"/>
    </row>
    <row r="1662" spans="1:28" x14ac:dyDescent="0.35">
      <c r="A1662" s="3"/>
      <c r="B1662" s="4"/>
      <c r="C1662" s="4"/>
      <c r="D1662" s="4"/>
      <c r="E1662" s="4"/>
      <c r="F1662" s="4"/>
      <c r="G1662" s="4"/>
      <c r="H1662" s="4"/>
      <c r="I1662" s="4"/>
      <c r="J1662" s="4"/>
      <c r="K1662" s="4"/>
      <c r="L1662" s="4"/>
      <c r="M1662" s="4"/>
      <c r="N1662" s="4"/>
      <c r="O1662" s="4"/>
      <c r="P1662" s="4"/>
      <c r="Q1662" s="4"/>
      <c r="R1662" s="4"/>
      <c r="S1662" s="4"/>
      <c r="T1662" s="4"/>
      <c r="U1662" s="4"/>
      <c r="V1662" s="4"/>
      <c r="W1662" s="4"/>
      <c r="X1662" s="4"/>
      <c r="Y1662" s="4"/>
      <c r="Z1662" s="4"/>
      <c r="AA1662" s="4"/>
      <c r="AB1662" s="5"/>
    </row>
    <row r="1663" spans="1:28" x14ac:dyDescent="0.35">
      <c r="A1663" s="3"/>
      <c r="B1663" s="4"/>
      <c r="C1663" s="4"/>
      <c r="D1663" s="4"/>
      <c r="E1663" s="4"/>
      <c r="F1663" s="4"/>
      <c r="G1663" s="4"/>
      <c r="H1663" s="4"/>
      <c r="I1663" s="4"/>
      <c r="J1663" s="4"/>
      <c r="K1663" s="4"/>
      <c r="L1663" s="4"/>
      <c r="M1663" s="4"/>
      <c r="N1663" s="4"/>
      <c r="O1663" s="4"/>
      <c r="P1663" s="4"/>
      <c r="Q1663" s="4"/>
      <c r="R1663" s="4"/>
      <c r="S1663" s="4"/>
      <c r="T1663" s="4"/>
      <c r="U1663" s="4"/>
      <c r="V1663" s="4"/>
      <c r="W1663" s="4"/>
      <c r="X1663" s="4"/>
      <c r="Y1663" s="4"/>
      <c r="Z1663" s="4"/>
      <c r="AA1663" s="4"/>
      <c r="AB1663" s="5"/>
    </row>
    <row r="1664" spans="1:28" x14ac:dyDescent="0.35">
      <c r="A1664" s="3"/>
      <c r="B1664" s="4"/>
      <c r="C1664" s="4"/>
      <c r="D1664" s="4"/>
      <c r="E1664" s="4"/>
      <c r="F1664" s="4"/>
      <c r="G1664" s="4"/>
      <c r="H1664" s="4"/>
      <c r="I1664" s="4"/>
      <c r="J1664" s="4"/>
      <c r="K1664" s="4"/>
      <c r="L1664" s="4"/>
      <c r="M1664" s="4"/>
      <c r="N1664" s="4"/>
      <c r="O1664" s="4"/>
      <c r="P1664" s="4"/>
      <c r="Q1664" s="4"/>
      <c r="R1664" s="4"/>
      <c r="S1664" s="4"/>
      <c r="T1664" s="4"/>
      <c r="U1664" s="4"/>
      <c r="V1664" s="4"/>
      <c r="W1664" s="4"/>
      <c r="X1664" s="4"/>
      <c r="Y1664" s="4"/>
      <c r="Z1664" s="4"/>
      <c r="AA1664" s="4"/>
      <c r="AB1664" s="5"/>
    </row>
    <row r="1665" spans="1:28" x14ac:dyDescent="0.35">
      <c r="A1665" s="3"/>
      <c r="B1665" s="4"/>
      <c r="C1665" s="4"/>
      <c r="D1665" s="4"/>
      <c r="E1665" s="4"/>
      <c r="F1665" s="4"/>
      <c r="G1665" s="4"/>
      <c r="H1665" s="4"/>
      <c r="I1665" s="4"/>
      <c r="J1665" s="4"/>
      <c r="K1665" s="4"/>
      <c r="L1665" s="4"/>
      <c r="M1665" s="4"/>
      <c r="N1665" s="4"/>
      <c r="O1665" s="4"/>
      <c r="P1665" s="4"/>
      <c r="Q1665" s="4"/>
      <c r="R1665" s="4"/>
      <c r="S1665" s="4"/>
      <c r="T1665" s="4"/>
      <c r="U1665" s="4"/>
      <c r="V1665" s="4"/>
      <c r="W1665" s="4"/>
      <c r="X1665" s="4"/>
      <c r="Y1665" s="4"/>
      <c r="Z1665" s="4"/>
      <c r="AA1665" s="4"/>
      <c r="AB1665" s="5"/>
    </row>
    <row r="1666" spans="1:28" x14ac:dyDescent="0.35">
      <c r="A1666" s="3"/>
      <c r="B1666" s="4"/>
      <c r="C1666" s="4"/>
      <c r="D1666" s="4"/>
      <c r="E1666" s="4"/>
      <c r="F1666" s="4"/>
      <c r="G1666" s="4"/>
      <c r="H1666" s="4"/>
      <c r="I1666" s="4"/>
      <c r="J1666" s="4"/>
      <c r="K1666" s="4"/>
      <c r="L1666" s="4"/>
      <c r="M1666" s="4"/>
      <c r="N1666" s="4"/>
      <c r="O1666" s="4"/>
      <c r="P1666" s="4"/>
      <c r="Q1666" s="4"/>
      <c r="R1666" s="4"/>
      <c r="S1666" s="4"/>
      <c r="T1666" s="4"/>
      <c r="U1666" s="4"/>
      <c r="V1666" s="4"/>
      <c r="W1666" s="4"/>
      <c r="X1666" s="4"/>
      <c r="Y1666" s="4"/>
      <c r="Z1666" s="4"/>
      <c r="AA1666" s="4"/>
      <c r="AB1666" s="5"/>
    </row>
    <row r="1667" spans="1:28" x14ac:dyDescent="0.35">
      <c r="A1667" s="3"/>
      <c r="B1667" s="4"/>
      <c r="C1667" s="4"/>
      <c r="D1667" s="4"/>
      <c r="E1667" s="4"/>
      <c r="F1667" s="4"/>
      <c r="G1667" s="4"/>
      <c r="H1667" s="4"/>
      <c r="I1667" s="4"/>
      <c r="J1667" s="4"/>
      <c r="K1667" s="4"/>
      <c r="L1667" s="4"/>
      <c r="M1667" s="4"/>
      <c r="N1667" s="4"/>
      <c r="O1667" s="4"/>
      <c r="P1667" s="4"/>
      <c r="Q1667" s="4"/>
      <c r="R1667" s="4"/>
      <c r="S1667" s="4"/>
      <c r="T1667" s="4"/>
      <c r="U1667" s="4"/>
      <c r="V1667" s="4"/>
      <c r="W1667" s="4"/>
      <c r="X1667" s="4"/>
      <c r="Y1667" s="4"/>
      <c r="Z1667" s="4"/>
      <c r="AA1667" s="4"/>
      <c r="AB1667" s="5"/>
    </row>
    <row r="1668" spans="1:28" x14ac:dyDescent="0.35">
      <c r="A1668" s="3"/>
      <c r="B1668" s="4"/>
      <c r="C1668" s="4"/>
      <c r="D1668" s="4"/>
      <c r="E1668" s="4"/>
      <c r="F1668" s="4"/>
      <c r="G1668" s="4"/>
      <c r="H1668" s="4"/>
      <c r="I1668" s="4"/>
      <c r="J1668" s="4"/>
      <c r="K1668" s="4"/>
      <c r="L1668" s="4"/>
      <c r="M1668" s="4"/>
      <c r="N1668" s="4"/>
      <c r="O1668" s="4"/>
      <c r="P1668" s="4"/>
      <c r="Q1668" s="4"/>
      <c r="R1668" s="4"/>
      <c r="S1668" s="4"/>
      <c r="T1668" s="4"/>
      <c r="U1668" s="4"/>
      <c r="V1668" s="4"/>
      <c r="W1668" s="4"/>
      <c r="X1668" s="4"/>
      <c r="Y1668" s="4"/>
      <c r="Z1668" s="4"/>
      <c r="AA1668" s="4"/>
      <c r="AB1668" s="5"/>
    </row>
    <row r="1669" spans="1:28" x14ac:dyDescent="0.35">
      <c r="A1669" s="3"/>
      <c r="B1669" s="4"/>
      <c r="C1669" s="4"/>
      <c r="D1669" s="4"/>
      <c r="E1669" s="4"/>
      <c r="F1669" s="4"/>
      <c r="G1669" s="4"/>
      <c r="H1669" s="4"/>
      <c r="I1669" s="4"/>
      <c r="J1669" s="4"/>
      <c r="K1669" s="4"/>
      <c r="L1669" s="4"/>
      <c r="M1669" s="4"/>
      <c r="N1669" s="4"/>
      <c r="O1669" s="4"/>
      <c r="P1669" s="4"/>
      <c r="Q1669" s="4"/>
      <c r="R1669" s="4"/>
      <c r="S1669" s="4"/>
      <c r="T1669" s="4"/>
      <c r="U1669" s="4"/>
      <c r="V1669" s="4"/>
      <c r="W1669" s="4"/>
      <c r="X1669" s="4"/>
      <c r="Y1669" s="4"/>
      <c r="Z1669" s="4"/>
      <c r="AA1669" s="4"/>
      <c r="AB1669" s="5"/>
    </row>
    <row r="1670" spans="1:28" x14ac:dyDescent="0.35">
      <c r="A1670" s="3"/>
      <c r="B1670" s="4"/>
      <c r="C1670" s="4"/>
      <c r="D1670" s="4"/>
      <c r="E1670" s="4"/>
      <c r="F1670" s="4"/>
      <c r="G1670" s="4"/>
      <c r="H1670" s="4"/>
      <c r="I1670" s="4"/>
      <c r="J1670" s="4"/>
      <c r="K1670" s="4"/>
      <c r="L1670" s="4"/>
      <c r="M1670" s="4"/>
      <c r="N1670" s="4"/>
      <c r="O1670" s="4"/>
      <c r="P1670" s="4"/>
      <c r="Q1670" s="4"/>
      <c r="R1670" s="4"/>
      <c r="S1670" s="4"/>
      <c r="T1670" s="4"/>
      <c r="U1670" s="4"/>
      <c r="V1670" s="4"/>
      <c r="W1670" s="4"/>
      <c r="X1670" s="4"/>
      <c r="Y1670" s="4"/>
      <c r="Z1670" s="4"/>
      <c r="AA1670" s="4"/>
      <c r="AB1670" s="5"/>
    </row>
    <row r="1671" spans="1:28" x14ac:dyDescent="0.35">
      <c r="A1671" s="3"/>
      <c r="B1671" s="4"/>
      <c r="C1671" s="4"/>
      <c r="D1671" s="4"/>
      <c r="E1671" s="4"/>
      <c r="F1671" s="4"/>
      <c r="G1671" s="4"/>
      <c r="H1671" s="4"/>
      <c r="I1671" s="4"/>
      <c r="J1671" s="4"/>
      <c r="K1671" s="4"/>
      <c r="L1671" s="4"/>
      <c r="M1671" s="4"/>
      <c r="N1671" s="4"/>
      <c r="O1671" s="4"/>
      <c r="P1671" s="4"/>
      <c r="Q1671" s="4"/>
      <c r="R1671" s="4"/>
      <c r="S1671" s="4"/>
      <c r="T1671" s="4"/>
      <c r="U1671" s="4"/>
      <c r="V1671" s="4"/>
      <c r="W1671" s="4"/>
      <c r="X1671" s="4"/>
      <c r="Y1671" s="4"/>
      <c r="Z1671" s="4"/>
      <c r="AA1671" s="4"/>
      <c r="AB1671" s="5"/>
    </row>
    <row r="1672" spans="1:28" x14ac:dyDescent="0.35">
      <c r="A1672" s="3"/>
      <c r="B1672" s="4"/>
      <c r="C1672" s="4"/>
      <c r="D1672" s="4"/>
      <c r="E1672" s="4"/>
      <c r="F1672" s="4"/>
      <c r="G1672" s="4"/>
      <c r="H1672" s="4"/>
      <c r="I1672" s="4"/>
      <c r="J1672" s="4"/>
      <c r="K1672" s="4"/>
      <c r="L1672" s="4"/>
      <c r="M1672" s="4"/>
      <c r="N1672" s="4"/>
      <c r="O1672" s="4"/>
      <c r="P1672" s="4"/>
      <c r="Q1672" s="4"/>
      <c r="R1672" s="4"/>
      <c r="S1672" s="4"/>
      <c r="T1672" s="4"/>
      <c r="U1672" s="4"/>
      <c r="V1672" s="4"/>
      <c r="W1672" s="4"/>
      <c r="X1672" s="4"/>
      <c r="Y1672" s="4"/>
      <c r="Z1672" s="4"/>
      <c r="AA1672" s="4"/>
      <c r="AB1672" s="5"/>
    </row>
    <row r="1673" spans="1:28" x14ac:dyDescent="0.35">
      <c r="A1673" s="3"/>
      <c r="B1673" s="4"/>
      <c r="C1673" s="4"/>
      <c r="D1673" s="4"/>
      <c r="E1673" s="4"/>
      <c r="F1673" s="4"/>
      <c r="G1673" s="4"/>
      <c r="H1673" s="4"/>
      <c r="I1673" s="4"/>
      <c r="J1673" s="4"/>
      <c r="K1673" s="4"/>
      <c r="L1673" s="4"/>
      <c r="M1673" s="4"/>
      <c r="N1673" s="4"/>
      <c r="O1673" s="4"/>
      <c r="P1673" s="4"/>
      <c r="Q1673" s="4"/>
      <c r="R1673" s="4"/>
      <c r="S1673" s="4"/>
      <c r="T1673" s="4"/>
      <c r="U1673" s="4"/>
      <c r="V1673" s="4"/>
      <c r="W1673" s="4"/>
      <c r="X1673" s="4"/>
      <c r="Y1673" s="4"/>
      <c r="Z1673" s="4"/>
      <c r="AA1673" s="4"/>
      <c r="AB1673" s="5"/>
    </row>
    <row r="1674" spans="1:28" x14ac:dyDescent="0.35">
      <c r="A1674" s="3"/>
      <c r="B1674" s="4"/>
      <c r="C1674" s="4"/>
      <c r="D1674" s="4"/>
      <c r="E1674" s="4"/>
      <c r="F1674" s="4"/>
      <c r="G1674" s="4"/>
      <c r="H1674" s="4"/>
      <c r="I1674" s="4"/>
      <c r="J1674" s="4"/>
      <c r="K1674" s="4"/>
      <c r="L1674" s="4"/>
      <c r="M1674" s="4"/>
      <c r="N1674" s="4"/>
      <c r="O1674" s="4"/>
      <c r="P1674" s="4"/>
      <c r="Q1674" s="4"/>
      <c r="R1674" s="4"/>
      <c r="S1674" s="4"/>
      <c r="T1674" s="4"/>
      <c r="U1674" s="4"/>
      <c r="V1674" s="4"/>
      <c r="W1674" s="4"/>
      <c r="X1674" s="4"/>
      <c r="Y1674" s="4"/>
      <c r="Z1674" s="4"/>
      <c r="AA1674" s="4"/>
      <c r="AB1674" s="5"/>
    </row>
    <row r="1675" spans="1:28" x14ac:dyDescent="0.35">
      <c r="A1675" s="3"/>
      <c r="B1675" s="4"/>
      <c r="C1675" s="4"/>
      <c r="D1675" s="4"/>
      <c r="E1675" s="4"/>
      <c r="F1675" s="4"/>
      <c r="G1675" s="4"/>
      <c r="H1675" s="4"/>
      <c r="I1675" s="4"/>
      <c r="J1675" s="4"/>
      <c r="K1675" s="4"/>
      <c r="L1675" s="4"/>
      <c r="M1675" s="4"/>
      <c r="N1675" s="4"/>
      <c r="O1675" s="4"/>
      <c r="P1675" s="4"/>
      <c r="Q1675" s="4"/>
      <c r="R1675" s="4"/>
      <c r="S1675" s="4"/>
      <c r="T1675" s="4"/>
      <c r="U1675" s="4"/>
      <c r="V1675" s="4"/>
      <c r="W1675" s="4"/>
      <c r="X1675" s="4"/>
      <c r="Y1675" s="4"/>
      <c r="Z1675" s="4"/>
      <c r="AA1675" s="4"/>
      <c r="AB1675" s="5"/>
    </row>
    <row r="1676" spans="1:28" x14ac:dyDescent="0.35">
      <c r="A1676" s="3"/>
      <c r="B1676" s="4"/>
      <c r="C1676" s="4"/>
      <c r="D1676" s="4"/>
      <c r="E1676" s="4"/>
      <c r="F1676" s="4"/>
      <c r="G1676" s="4"/>
      <c r="H1676" s="4"/>
      <c r="I1676" s="4"/>
      <c r="J1676" s="4"/>
      <c r="K1676" s="4"/>
      <c r="L1676" s="4"/>
      <c r="M1676" s="4"/>
      <c r="N1676" s="4"/>
      <c r="O1676" s="4"/>
      <c r="P1676" s="4"/>
      <c r="Q1676" s="4"/>
      <c r="R1676" s="4"/>
      <c r="S1676" s="4"/>
      <c r="T1676" s="4"/>
      <c r="U1676" s="4"/>
      <c r="V1676" s="4"/>
      <c r="W1676" s="4"/>
      <c r="X1676" s="4"/>
      <c r="Y1676" s="4"/>
      <c r="Z1676" s="4"/>
      <c r="AA1676" s="4"/>
      <c r="AB1676" s="5"/>
    </row>
    <row r="1677" spans="1:28" x14ac:dyDescent="0.35">
      <c r="A1677" s="3"/>
      <c r="B1677" s="4"/>
      <c r="C1677" s="4"/>
      <c r="D1677" s="4"/>
      <c r="E1677" s="4"/>
      <c r="F1677" s="4"/>
      <c r="G1677" s="4"/>
      <c r="H1677" s="4"/>
      <c r="I1677" s="4"/>
      <c r="J1677" s="4"/>
      <c r="K1677" s="4"/>
      <c r="L1677" s="4"/>
      <c r="M1677" s="4"/>
      <c r="N1677" s="4"/>
      <c r="O1677" s="4"/>
      <c r="P1677" s="4"/>
      <c r="Q1677" s="4"/>
      <c r="R1677" s="4"/>
      <c r="S1677" s="4"/>
      <c r="T1677" s="4"/>
      <c r="U1677" s="4"/>
      <c r="V1677" s="4"/>
      <c r="W1677" s="4"/>
      <c r="X1677" s="4"/>
      <c r="Y1677" s="4"/>
      <c r="Z1677" s="4"/>
      <c r="AA1677" s="4"/>
      <c r="AB1677" s="5"/>
    </row>
    <row r="1678" spans="1:28" x14ac:dyDescent="0.35">
      <c r="A1678" s="3"/>
      <c r="B1678" s="4"/>
      <c r="C1678" s="4"/>
      <c r="D1678" s="4"/>
      <c r="E1678" s="4"/>
      <c r="F1678" s="4"/>
      <c r="G1678" s="4"/>
      <c r="H1678" s="4"/>
      <c r="I1678" s="4"/>
      <c r="J1678" s="4"/>
      <c r="K1678" s="4"/>
      <c r="L1678" s="4"/>
      <c r="M1678" s="4"/>
      <c r="N1678" s="4"/>
      <c r="O1678" s="4"/>
      <c r="P1678" s="4"/>
      <c r="Q1678" s="4"/>
      <c r="R1678" s="4"/>
      <c r="S1678" s="4"/>
      <c r="T1678" s="4"/>
      <c r="U1678" s="4"/>
      <c r="V1678" s="4"/>
      <c r="W1678" s="4"/>
      <c r="X1678" s="4"/>
      <c r="Y1678" s="4"/>
      <c r="Z1678" s="4"/>
      <c r="AA1678" s="4"/>
      <c r="AB1678" s="5"/>
    </row>
    <row r="1679" spans="1:28" x14ac:dyDescent="0.35">
      <c r="A1679" s="3"/>
      <c r="B1679" s="4"/>
      <c r="C1679" s="4"/>
      <c r="D1679" s="4"/>
      <c r="E1679" s="4"/>
      <c r="F1679" s="4"/>
      <c r="G1679" s="4"/>
      <c r="H1679" s="4"/>
      <c r="I1679" s="4"/>
      <c r="J1679" s="4"/>
      <c r="K1679" s="4"/>
      <c r="L1679" s="4"/>
      <c r="M1679" s="4"/>
      <c r="N1679" s="4"/>
      <c r="O1679" s="4"/>
      <c r="P1679" s="4"/>
      <c r="Q1679" s="4"/>
      <c r="R1679" s="4"/>
      <c r="S1679" s="4"/>
      <c r="T1679" s="4"/>
      <c r="U1679" s="4"/>
      <c r="V1679" s="4"/>
      <c r="W1679" s="4"/>
      <c r="X1679" s="4"/>
      <c r="Y1679" s="4"/>
      <c r="Z1679" s="4"/>
      <c r="AA1679" s="4"/>
      <c r="AB1679" s="5"/>
    </row>
    <row r="1680" spans="1:28" x14ac:dyDescent="0.35">
      <c r="A1680" s="3"/>
      <c r="B1680" s="4"/>
      <c r="C1680" s="4"/>
      <c r="D1680" s="4"/>
      <c r="E1680" s="4"/>
      <c r="F1680" s="4"/>
      <c r="G1680" s="4"/>
      <c r="H1680" s="4"/>
      <c r="I1680" s="4"/>
      <c r="J1680" s="4"/>
      <c r="K1680" s="4"/>
      <c r="L1680" s="4"/>
      <c r="M1680" s="4"/>
      <c r="N1680" s="4"/>
      <c r="O1680" s="4"/>
      <c r="P1680" s="4"/>
      <c r="Q1680" s="4"/>
      <c r="R1680" s="4"/>
      <c r="S1680" s="4"/>
      <c r="T1680" s="4"/>
      <c r="U1680" s="4"/>
      <c r="V1680" s="4"/>
      <c r="W1680" s="4"/>
      <c r="X1680" s="4"/>
      <c r="Y1680" s="4"/>
      <c r="Z1680" s="4"/>
      <c r="AA1680" s="4"/>
      <c r="AB1680" s="5"/>
    </row>
    <row r="1681" spans="1:28" x14ac:dyDescent="0.35">
      <c r="A1681" s="3"/>
      <c r="B1681" s="4"/>
      <c r="C1681" s="4"/>
      <c r="D1681" s="4"/>
      <c r="E1681" s="4"/>
      <c r="F1681" s="4"/>
      <c r="G1681" s="4"/>
      <c r="H1681" s="4"/>
      <c r="I1681" s="4"/>
      <c r="J1681" s="4"/>
      <c r="K1681" s="4"/>
      <c r="L1681" s="4"/>
      <c r="M1681" s="4"/>
      <c r="N1681" s="4"/>
      <c r="O1681" s="4"/>
      <c r="P1681" s="4"/>
      <c r="Q1681" s="4"/>
      <c r="R1681" s="4"/>
      <c r="S1681" s="4"/>
      <c r="T1681" s="4"/>
      <c r="U1681" s="4"/>
      <c r="V1681" s="4"/>
      <c r="W1681" s="4"/>
      <c r="X1681" s="4"/>
      <c r="Y1681" s="4"/>
      <c r="Z1681" s="4"/>
      <c r="AA1681" s="4"/>
      <c r="AB1681" s="5"/>
    </row>
    <row r="1682" spans="1:28" x14ac:dyDescent="0.35">
      <c r="A1682" s="3"/>
      <c r="B1682" s="4"/>
      <c r="C1682" s="4"/>
      <c r="D1682" s="4"/>
      <c r="E1682" s="4"/>
      <c r="F1682" s="4"/>
      <c r="G1682" s="4"/>
      <c r="H1682" s="4"/>
      <c r="I1682" s="4"/>
      <c r="J1682" s="4"/>
      <c r="K1682" s="4"/>
      <c r="L1682" s="4"/>
      <c r="M1682" s="4"/>
      <c r="N1682" s="4"/>
      <c r="O1682" s="4"/>
      <c r="P1682" s="4"/>
      <c r="Q1682" s="4"/>
      <c r="R1682" s="4"/>
      <c r="S1682" s="4"/>
      <c r="T1682" s="4"/>
      <c r="U1682" s="4"/>
      <c r="V1682" s="4"/>
      <c r="W1682" s="4"/>
      <c r="X1682" s="4"/>
      <c r="Y1682" s="4"/>
      <c r="Z1682" s="4"/>
      <c r="AA1682" s="4"/>
      <c r="AB1682" s="5"/>
    </row>
    <row r="1683" spans="1:28" x14ac:dyDescent="0.35">
      <c r="A1683" s="3"/>
      <c r="B1683" s="4"/>
      <c r="C1683" s="4"/>
      <c r="D1683" s="4"/>
      <c r="E1683" s="4"/>
      <c r="F1683" s="4"/>
      <c r="G1683" s="4"/>
      <c r="H1683" s="4"/>
      <c r="I1683" s="4"/>
      <c r="J1683" s="4"/>
      <c r="K1683" s="4"/>
      <c r="L1683" s="4"/>
      <c r="M1683" s="4"/>
      <c r="N1683" s="4"/>
      <c r="O1683" s="4"/>
      <c r="P1683" s="4"/>
      <c r="Q1683" s="4"/>
      <c r="R1683" s="4"/>
      <c r="S1683" s="4"/>
      <c r="T1683" s="4"/>
      <c r="U1683" s="4"/>
      <c r="V1683" s="4"/>
      <c r="W1683" s="4"/>
      <c r="X1683" s="4"/>
      <c r="Y1683" s="4"/>
      <c r="Z1683" s="4"/>
      <c r="AA1683" s="4"/>
      <c r="AB1683" s="5"/>
    </row>
    <row r="1684" spans="1:28" x14ac:dyDescent="0.35">
      <c r="A1684" s="3"/>
      <c r="B1684" s="4"/>
      <c r="C1684" s="4"/>
      <c r="D1684" s="4"/>
      <c r="E1684" s="4"/>
      <c r="F1684" s="4"/>
      <c r="G1684" s="4"/>
      <c r="H1684" s="4"/>
      <c r="I1684" s="4"/>
      <c r="J1684" s="4"/>
      <c r="K1684" s="4"/>
      <c r="L1684" s="4"/>
      <c r="M1684" s="4"/>
      <c r="N1684" s="4"/>
      <c r="O1684" s="4"/>
      <c r="P1684" s="4"/>
      <c r="Q1684" s="4"/>
      <c r="R1684" s="4"/>
      <c r="S1684" s="4"/>
      <c r="T1684" s="4"/>
      <c r="U1684" s="4"/>
      <c r="V1684" s="4"/>
      <c r="W1684" s="4"/>
      <c r="X1684" s="4"/>
      <c r="Y1684" s="4"/>
      <c r="Z1684" s="4"/>
      <c r="AA1684" s="4"/>
      <c r="AB1684" s="5"/>
    </row>
    <row r="1685" spans="1:28" x14ac:dyDescent="0.35">
      <c r="A1685" s="3"/>
      <c r="B1685" s="4"/>
      <c r="C1685" s="4"/>
      <c r="D1685" s="4"/>
      <c r="E1685" s="4"/>
      <c r="F1685" s="4"/>
      <c r="G1685" s="4"/>
      <c r="H1685" s="4"/>
      <c r="I1685" s="4"/>
      <c r="J1685" s="4"/>
      <c r="K1685" s="4"/>
      <c r="L1685" s="4"/>
      <c r="M1685" s="4"/>
      <c r="N1685" s="4"/>
      <c r="O1685" s="4"/>
      <c r="P1685" s="4"/>
      <c r="Q1685" s="4"/>
      <c r="R1685" s="4"/>
      <c r="S1685" s="4"/>
      <c r="T1685" s="4"/>
      <c r="U1685" s="4"/>
      <c r="V1685" s="4"/>
      <c r="W1685" s="4"/>
      <c r="X1685" s="4"/>
      <c r="Y1685" s="4"/>
      <c r="Z1685" s="4"/>
      <c r="AA1685" s="4"/>
      <c r="AB1685" s="5"/>
    </row>
    <row r="1686" spans="1:28" x14ac:dyDescent="0.35">
      <c r="A1686" s="3"/>
      <c r="B1686" s="4"/>
      <c r="C1686" s="4"/>
      <c r="D1686" s="4"/>
      <c r="E1686" s="4"/>
      <c r="F1686" s="4"/>
      <c r="G1686" s="4"/>
      <c r="H1686" s="4"/>
      <c r="I1686" s="4"/>
      <c r="J1686" s="4"/>
      <c r="K1686" s="4"/>
      <c r="L1686" s="4"/>
      <c r="M1686" s="4"/>
      <c r="N1686" s="4"/>
      <c r="O1686" s="4"/>
      <c r="P1686" s="4"/>
      <c r="Q1686" s="4"/>
      <c r="R1686" s="4"/>
      <c r="S1686" s="4"/>
      <c r="T1686" s="4"/>
      <c r="U1686" s="4"/>
      <c r="V1686" s="4"/>
      <c r="W1686" s="4"/>
      <c r="X1686" s="4"/>
      <c r="Y1686" s="4"/>
      <c r="Z1686" s="4"/>
      <c r="AA1686" s="4"/>
      <c r="AB1686" s="5"/>
    </row>
    <row r="1687" spans="1:28" x14ac:dyDescent="0.35">
      <c r="A1687" s="3"/>
      <c r="B1687" s="4"/>
      <c r="C1687" s="4"/>
      <c r="D1687" s="4"/>
      <c r="E1687" s="4"/>
      <c r="F1687" s="4"/>
      <c r="G1687" s="4"/>
      <c r="H1687" s="4"/>
      <c r="I1687" s="4"/>
      <c r="J1687" s="4"/>
      <c r="K1687" s="4"/>
      <c r="L1687" s="4"/>
      <c r="M1687" s="4"/>
      <c r="N1687" s="4"/>
      <c r="O1687" s="4"/>
      <c r="P1687" s="4"/>
      <c r="Q1687" s="4"/>
      <c r="R1687" s="4"/>
      <c r="S1687" s="4"/>
      <c r="T1687" s="4"/>
      <c r="U1687" s="4"/>
      <c r="V1687" s="4"/>
      <c r="W1687" s="4"/>
      <c r="X1687" s="4"/>
      <c r="Y1687" s="4"/>
      <c r="Z1687" s="4"/>
      <c r="AA1687" s="4"/>
      <c r="AB1687" s="5"/>
    </row>
    <row r="1688" spans="1:28" x14ac:dyDescent="0.35">
      <c r="A1688" s="3"/>
      <c r="B1688" s="4"/>
      <c r="C1688" s="4"/>
      <c r="D1688" s="4"/>
      <c r="E1688" s="4"/>
      <c r="F1688" s="4"/>
      <c r="G1688" s="4"/>
      <c r="H1688" s="4"/>
      <c r="I1688" s="4"/>
      <c r="J1688" s="4"/>
      <c r="K1688" s="4"/>
      <c r="L1688" s="4"/>
      <c r="M1688" s="4"/>
      <c r="N1688" s="4"/>
      <c r="O1688" s="4"/>
      <c r="P1688" s="4"/>
      <c r="Q1688" s="4"/>
      <c r="R1688" s="4"/>
      <c r="S1688" s="4"/>
      <c r="T1688" s="4"/>
      <c r="U1688" s="4"/>
      <c r="V1688" s="4"/>
      <c r="W1688" s="4"/>
      <c r="X1688" s="4"/>
      <c r="Y1688" s="4"/>
      <c r="Z1688" s="4"/>
      <c r="AA1688" s="4"/>
      <c r="AB1688" s="5"/>
    </row>
    <row r="1689" spans="1:28" x14ac:dyDescent="0.35">
      <c r="A1689" s="3"/>
      <c r="B1689" s="4"/>
      <c r="C1689" s="4"/>
      <c r="D1689" s="4"/>
      <c r="E1689" s="4"/>
      <c r="F1689" s="4"/>
      <c r="G1689" s="4"/>
      <c r="H1689" s="4"/>
      <c r="I1689" s="4"/>
      <c r="J1689" s="4"/>
      <c r="K1689" s="4"/>
      <c r="L1689" s="4"/>
      <c r="M1689" s="4"/>
      <c r="N1689" s="4"/>
      <c r="O1689" s="4"/>
      <c r="P1689" s="4"/>
      <c r="Q1689" s="4"/>
      <c r="R1689" s="4"/>
      <c r="S1689" s="4"/>
      <c r="T1689" s="4"/>
      <c r="U1689" s="4"/>
      <c r="V1689" s="4"/>
      <c r="W1689" s="4"/>
      <c r="X1689" s="4"/>
      <c r="Y1689" s="4"/>
      <c r="Z1689" s="4"/>
      <c r="AA1689" s="4"/>
      <c r="AB1689" s="5"/>
    </row>
    <row r="1690" spans="1:28" x14ac:dyDescent="0.35">
      <c r="A1690" s="3"/>
      <c r="B1690" s="4"/>
      <c r="C1690" s="4"/>
      <c r="D1690" s="4"/>
      <c r="E1690" s="4"/>
      <c r="F1690" s="4"/>
      <c r="G1690" s="4"/>
      <c r="H1690" s="4"/>
      <c r="I1690" s="4"/>
      <c r="J1690" s="4"/>
      <c r="K1690" s="4"/>
      <c r="L1690" s="4"/>
      <c r="M1690" s="4"/>
      <c r="N1690" s="4"/>
      <c r="O1690" s="4"/>
      <c r="P1690" s="4"/>
      <c r="Q1690" s="4"/>
      <c r="R1690" s="4"/>
      <c r="S1690" s="4"/>
      <c r="T1690" s="4"/>
      <c r="U1690" s="4"/>
      <c r="V1690" s="4"/>
      <c r="W1690" s="4"/>
      <c r="X1690" s="4"/>
      <c r="Y1690" s="4"/>
      <c r="Z1690" s="4"/>
      <c r="AA1690" s="4"/>
      <c r="AB1690" s="5"/>
    </row>
    <row r="1691" spans="1:28" x14ac:dyDescent="0.35">
      <c r="A1691" s="3"/>
      <c r="B1691" s="4"/>
      <c r="C1691" s="4"/>
      <c r="D1691" s="4"/>
      <c r="E1691" s="4"/>
      <c r="F1691" s="4"/>
      <c r="G1691" s="4"/>
      <c r="H1691" s="4"/>
      <c r="I1691" s="4"/>
      <c r="J1691" s="4"/>
      <c r="K1691" s="4"/>
      <c r="L1691" s="4"/>
      <c r="M1691" s="4"/>
      <c r="N1691" s="4"/>
      <c r="O1691" s="4"/>
      <c r="P1691" s="4"/>
      <c r="Q1691" s="4"/>
      <c r="R1691" s="4"/>
      <c r="S1691" s="4"/>
      <c r="T1691" s="4"/>
      <c r="U1691" s="4"/>
      <c r="V1691" s="4"/>
      <c r="W1691" s="4"/>
      <c r="X1691" s="4"/>
      <c r="Y1691" s="4"/>
      <c r="Z1691" s="4"/>
      <c r="AA1691" s="4"/>
      <c r="AB1691" s="5"/>
    </row>
    <row r="1692" spans="1:28" x14ac:dyDescent="0.35">
      <c r="A1692" s="3"/>
      <c r="B1692" s="4"/>
      <c r="C1692" s="4"/>
      <c r="D1692" s="4"/>
      <c r="E1692" s="4"/>
      <c r="F1692" s="4"/>
      <c r="G1692" s="4"/>
      <c r="H1692" s="4"/>
      <c r="I1692" s="4"/>
      <c r="J1692" s="4"/>
      <c r="K1692" s="4"/>
      <c r="L1692" s="4"/>
      <c r="M1692" s="4"/>
      <c r="N1692" s="4"/>
      <c r="O1692" s="4"/>
      <c r="P1692" s="4"/>
      <c r="Q1692" s="4"/>
      <c r="R1692" s="4"/>
      <c r="S1692" s="4"/>
      <c r="T1692" s="4"/>
      <c r="U1692" s="4"/>
      <c r="V1692" s="4"/>
      <c r="W1692" s="4"/>
      <c r="X1692" s="4"/>
      <c r="Y1692" s="4"/>
      <c r="Z1692" s="4"/>
      <c r="AA1692" s="4"/>
      <c r="AB1692" s="5"/>
    </row>
    <row r="1693" spans="1:28" x14ac:dyDescent="0.35">
      <c r="A1693" s="3"/>
      <c r="B1693" s="4"/>
      <c r="C1693" s="4"/>
      <c r="D1693" s="4"/>
      <c r="E1693" s="4"/>
      <c r="F1693" s="4"/>
      <c r="G1693" s="4"/>
      <c r="H1693" s="4"/>
      <c r="I1693" s="4"/>
      <c r="J1693" s="4"/>
      <c r="K1693" s="4"/>
      <c r="L1693" s="4"/>
      <c r="M1693" s="4"/>
      <c r="N1693" s="4"/>
      <c r="O1693" s="4"/>
      <c r="P1693" s="4"/>
      <c r="Q1693" s="4"/>
      <c r="R1693" s="4"/>
      <c r="S1693" s="4"/>
      <c r="T1693" s="4"/>
      <c r="U1693" s="4"/>
      <c r="V1693" s="4"/>
      <c r="W1693" s="4"/>
      <c r="X1693" s="4"/>
      <c r="Y1693" s="4"/>
      <c r="Z1693" s="4"/>
      <c r="AA1693" s="4"/>
      <c r="AB1693" s="5"/>
    </row>
    <row r="1694" spans="1:28" x14ac:dyDescent="0.35">
      <c r="A1694" s="3"/>
      <c r="B1694" s="4"/>
      <c r="C1694" s="4"/>
      <c r="D1694" s="4"/>
      <c r="E1694" s="4"/>
      <c r="F1694" s="4"/>
      <c r="G1694" s="4"/>
      <c r="H1694" s="4"/>
      <c r="I1694" s="4"/>
      <c r="J1694" s="4"/>
      <c r="K1694" s="4"/>
      <c r="L1694" s="4"/>
      <c r="M1694" s="4"/>
      <c r="N1694" s="4"/>
      <c r="O1694" s="4"/>
      <c r="P1694" s="4"/>
      <c r="Q1694" s="4"/>
      <c r="R1694" s="4"/>
      <c r="S1694" s="4"/>
      <c r="T1694" s="4"/>
      <c r="U1694" s="4"/>
      <c r="V1694" s="4"/>
      <c r="W1694" s="4"/>
      <c r="X1694" s="4"/>
      <c r="Y1694" s="4"/>
      <c r="Z1694" s="4"/>
      <c r="AA1694" s="4"/>
      <c r="AB1694" s="5"/>
    </row>
    <row r="1695" spans="1:28" x14ac:dyDescent="0.35">
      <c r="A1695" s="3"/>
      <c r="B1695" s="4"/>
      <c r="C1695" s="4"/>
      <c r="D1695" s="4"/>
      <c r="E1695" s="4"/>
      <c r="F1695" s="4"/>
      <c r="G1695" s="4"/>
      <c r="H1695" s="4"/>
      <c r="I1695" s="4"/>
      <c r="J1695" s="4"/>
      <c r="K1695" s="4"/>
      <c r="L1695" s="4"/>
      <c r="M1695" s="4"/>
      <c r="N1695" s="4"/>
      <c r="O1695" s="4"/>
      <c r="P1695" s="4"/>
      <c r="Q1695" s="4"/>
      <c r="R1695" s="4"/>
      <c r="S1695" s="4"/>
      <c r="T1695" s="4"/>
      <c r="U1695" s="4"/>
      <c r="V1695" s="4"/>
      <c r="W1695" s="4"/>
      <c r="X1695" s="4"/>
      <c r="Y1695" s="4"/>
      <c r="Z1695" s="4"/>
      <c r="AA1695" s="4"/>
      <c r="AB1695" s="5"/>
    </row>
    <row r="1696" spans="1:28" x14ac:dyDescent="0.35">
      <c r="A1696" s="3"/>
      <c r="B1696" s="4"/>
      <c r="C1696" s="4"/>
      <c r="D1696" s="4"/>
      <c r="E1696" s="4"/>
      <c r="F1696" s="4"/>
      <c r="G1696" s="4"/>
      <c r="H1696" s="4"/>
      <c r="I1696" s="4"/>
      <c r="J1696" s="4"/>
      <c r="K1696" s="4"/>
      <c r="L1696" s="4"/>
      <c r="M1696" s="4"/>
      <c r="N1696" s="4"/>
      <c r="O1696" s="4"/>
      <c r="P1696" s="4"/>
      <c r="Q1696" s="4"/>
      <c r="R1696" s="4"/>
      <c r="S1696" s="4"/>
      <c r="T1696" s="4"/>
      <c r="U1696" s="4"/>
      <c r="V1696" s="4"/>
      <c r="W1696" s="4"/>
      <c r="X1696" s="4"/>
      <c r="Y1696" s="4"/>
      <c r="Z1696" s="4"/>
      <c r="AA1696" s="4"/>
      <c r="AB1696" s="5"/>
    </row>
    <row r="1697" spans="1:28" x14ac:dyDescent="0.35">
      <c r="A1697" s="3"/>
      <c r="B1697" s="4"/>
      <c r="C1697" s="4"/>
      <c r="D1697" s="4"/>
      <c r="E1697" s="4"/>
      <c r="F1697" s="4"/>
      <c r="G1697" s="4"/>
      <c r="H1697" s="4"/>
      <c r="I1697" s="4"/>
      <c r="J1697" s="4"/>
      <c r="K1697" s="4"/>
      <c r="L1697" s="4"/>
      <c r="M1697" s="4"/>
      <c r="N1697" s="4"/>
      <c r="O1697" s="4"/>
      <c r="P1697" s="4"/>
      <c r="Q1697" s="4"/>
      <c r="R1697" s="4"/>
      <c r="S1697" s="4"/>
      <c r="T1697" s="4"/>
      <c r="U1697" s="4"/>
      <c r="V1697" s="4"/>
      <c r="W1697" s="4"/>
      <c r="X1697" s="4"/>
      <c r="Y1697" s="4"/>
      <c r="Z1697" s="4"/>
      <c r="AA1697" s="4"/>
      <c r="AB1697" s="5"/>
    </row>
    <row r="1698" spans="1:28" x14ac:dyDescent="0.35">
      <c r="A1698" s="3"/>
      <c r="B1698" s="4"/>
      <c r="C1698" s="4"/>
      <c r="D1698" s="4"/>
      <c r="E1698" s="4"/>
      <c r="F1698" s="4"/>
      <c r="G1698" s="4"/>
      <c r="H1698" s="4"/>
      <c r="I1698" s="4"/>
      <c r="J1698" s="4"/>
      <c r="K1698" s="4"/>
      <c r="L1698" s="4"/>
      <c r="M1698" s="4"/>
      <c r="N1698" s="4"/>
      <c r="O1698" s="4"/>
      <c r="P1698" s="4"/>
      <c r="Q1698" s="4"/>
      <c r="R1698" s="4"/>
      <c r="S1698" s="4"/>
      <c r="T1698" s="4"/>
      <c r="U1698" s="4"/>
      <c r="V1698" s="4"/>
      <c r="W1698" s="4"/>
      <c r="X1698" s="4"/>
      <c r="Y1698" s="4"/>
      <c r="Z1698" s="4"/>
      <c r="AA1698" s="4"/>
      <c r="AB1698" s="5"/>
    </row>
    <row r="1699" spans="1:28" x14ac:dyDescent="0.35">
      <c r="A1699" s="3"/>
      <c r="B1699" s="4"/>
      <c r="C1699" s="4"/>
      <c r="D1699" s="4"/>
      <c r="E1699" s="4"/>
      <c r="F1699" s="4"/>
      <c r="G1699" s="4"/>
      <c r="H1699" s="4"/>
      <c r="I1699" s="4"/>
      <c r="J1699" s="4"/>
      <c r="K1699" s="4"/>
      <c r="L1699" s="4"/>
      <c r="M1699" s="4"/>
      <c r="N1699" s="4"/>
      <c r="O1699" s="4"/>
      <c r="P1699" s="4"/>
      <c r="Q1699" s="4"/>
      <c r="R1699" s="4"/>
      <c r="S1699" s="4"/>
      <c r="T1699" s="4"/>
      <c r="U1699" s="4"/>
      <c r="V1699" s="4"/>
      <c r="W1699" s="4"/>
      <c r="X1699" s="4"/>
      <c r="Y1699" s="4"/>
      <c r="Z1699" s="4"/>
      <c r="AA1699" s="4"/>
      <c r="AB1699" s="5"/>
    </row>
    <row r="1700" spans="1:28" x14ac:dyDescent="0.35">
      <c r="A1700" s="3"/>
      <c r="B1700" s="4"/>
      <c r="C1700" s="4"/>
      <c r="D1700" s="4"/>
      <c r="E1700" s="4"/>
      <c r="F1700" s="4"/>
      <c r="G1700" s="4"/>
      <c r="H1700" s="4"/>
      <c r="I1700" s="4"/>
      <c r="J1700" s="4"/>
      <c r="K1700" s="4"/>
      <c r="L1700" s="4"/>
      <c r="M1700" s="4"/>
      <c r="N1700" s="4"/>
      <c r="O1700" s="4"/>
      <c r="P1700" s="4"/>
      <c r="Q1700" s="4"/>
      <c r="R1700" s="4"/>
      <c r="S1700" s="4"/>
      <c r="T1700" s="4"/>
      <c r="U1700" s="4"/>
      <c r="V1700" s="4"/>
      <c r="W1700" s="4"/>
      <c r="X1700" s="4"/>
      <c r="Y1700" s="4"/>
      <c r="Z1700" s="4"/>
      <c r="AA1700" s="4"/>
      <c r="AB1700" s="5"/>
    </row>
    <row r="1701" spans="1:28" x14ac:dyDescent="0.35">
      <c r="A1701" s="3"/>
      <c r="B1701" s="4"/>
      <c r="C1701" s="4"/>
      <c r="D1701" s="4"/>
      <c r="E1701" s="4"/>
      <c r="F1701" s="4"/>
      <c r="G1701" s="4"/>
      <c r="H1701" s="4"/>
      <c r="I1701" s="4"/>
      <c r="J1701" s="4"/>
      <c r="K1701" s="4"/>
      <c r="L1701" s="4"/>
      <c r="M1701" s="4"/>
      <c r="N1701" s="4"/>
      <c r="O1701" s="4"/>
      <c r="P1701" s="4"/>
      <c r="Q1701" s="4"/>
      <c r="R1701" s="4"/>
      <c r="S1701" s="4"/>
      <c r="T1701" s="4"/>
      <c r="U1701" s="4"/>
      <c r="V1701" s="4"/>
      <c r="W1701" s="4"/>
      <c r="X1701" s="4"/>
      <c r="Y1701" s="4"/>
      <c r="Z1701" s="4"/>
      <c r="AA1701" s="4"/>
      <c r="AB1701" s="5"/>
    </row>
    <row r="1702" spans="1:28" x14ac:dyDescent="0.35">
      <c r="A1702" s="3"/>
      <c r="B1702" s="4"/>
      <c r="C1702" s="4"/>
      <c r="D1702" s="4"/>
      <c r="E1702" s="4"/>
      <c r="F1702" s="4"/>
      <c r="G1702" s="4"/>
      <c r="H1702" s="4"/>
      <c r="I1702" s="4"/>
      <c r="J1702" s="4"/>
      <c r="K1702" s="4"/>
      <c r="L1702" s="4"/>
      <c r="M1702" s="4"/>
      <c r="N1702" s="4"/>
      <c r="O1702" s="4"/>
      <c r="P1702" s="4"/>
      <c r="Q1702" s="4"/>
      <c r="R1702" s="4"/>
      <c r="S1702" s="4"/>
      <c r="T1702" s="4"/>
      <c r="U1702" s="4"/>
      <c r="V1702" s="4"/>
      <c r="W1702" s="4"/>
      <c r="X1702" s="4"/>
      <c r="Y1702" s="4"/>
      <c r="Z1702" s="4"/>
      <c r="AA1702" s="4"/>
      <c r="AB1702" s="5"/>
    </row>
    <row r="1703" spans="1:28" x14ac:dyDescent="0.35">
      <c r="A1703" s="3"/>
      <c r="B1703" s="4"/>
      <c r="C1703" s="4"/>
      <c r="D1703" s="4"/>
      <c r="E1703" s="4"/>
      <c r="F1703" s="4"/>
      <c r="G1703" s="4"/>
      <c r="H1703" s="4"/>
      <c r="I1703" s="4"/>
      <c r="J1703" s="4"/>
      <c r="K1703" s="4"/>
      <c r="L1703" s="4"/>
      <c r="M1703" s="4"/>
      <c r="N1703" s="4"/>
      <c r="O1703" s="4"/>
      <c r="P1703" s="4"/>
      <c r="Q1703" s="4"/>
      <c r="R1703" s="4"/>
      <c r="S1703" s="4"/>
      <c r="T1703" s="4"/>
      <c r="U1703" s="4"/>
      <c r="V1703" s="4"/>
      <c r="W1703" s="4"/>
      <c r="X1703" s="4"/>
      <c r="Y1703" s="4"/>
      <c r="Z1703" s="4"/>
      <c r="AA1703" s="4"/>
      <c r="AB1703" s="5"/>
    </row>
    <row r="1704" spans="1:28" x14ac:dyDescent="0.35">
      <c r="A1704" s="3"/>
      <c r="B1704" s="4"/>
      <c r="C1704" s="4"/>
      <c r="D1704" s="4"/>
      <c r="E1704" s="4"/>
      <c r="F1704" s="4"/>
      <c r="G1704" s="4"/>
      <c r="H1704" s="4"/>
      <c r="I1704" s="4"/>
      <c r="J1704" s="4"/>
      <c r="K1704" s="4"/>
      <c r="L1704" s="4"/>
      <c r="M1704" s="4"/>
      <c r="N1704" s="4"/>
      <c r="O1704" s="4"/>
      <c r="P1704" s="4"/>
      <c r="Q1704" s="4"/>
      <c r="R1704" s="4"/>
      <c r="S1704" s="4"/>
      <c r="T1704" s="4"/>
      <c r="U1704" s="4"/>
      <c r="V1704" s="4"/>
      <c r="W1704" s="4"/>
      <c r="X1704" s="4"/>
      <c r="Y1704" s="4"/>
      <c r="Z1704" s="4"/>
      <c r="AA1704" s="4"/>
      <c r="AB1704" s="5"/>
    </row>
    <row r="1705" spans="1:28" x14ac:dyDescent="0.35">
      <c r="A1705" s="3"/>
      <c r="B1705" s="4"/>
      <c r="C1705" s="4"/>
      <c r="D1705" s="4"/>
      <c r="E1705" s="4"/>
      <c r="F1705" s="4"/>
      <c r="G1705" s="4"/>
      <c r="H1705" s="4"/>
      <c r="I1705" s="4"/>
      <c r="J1705" s="4"/>
      <c r="K1705" s="4"/>
      <c r="L1705" s="4"/>
      <c r="M1705" s="4"/>
      <c r="N1705" s="4"/>
      <c r="O1705" s="4"/>
      <c r="P1705" s="4"/>
      <c r="Q1705" s="4"/>
      <c r="R1705" s="4"/>
      <c r="S1705" s="4"/>
      <c r="T1705" s="4"/>
      <c r="U1705" s="4"/>
      <c r="V1705" s="4"/>
      <c r="W1705" s="4"/>
      <c r="X1705" s="4"/>
      <c r="Y1705" s="4"/>
      <c r="Z1705" s="4"/>
      <c r="AA1705" s="4"/>
      <c r="AB1705" s="5"/>
    </row>
    <row r="1706" spans="1:28" x14ac:dyDescent="0.35">
      <c r="A1706" s="3"/>
      <c r="B1706" s="4"/>
      <c r="C1706" s="4"/>
      <c r="D1706" s="4"/>
      <c r="E1706" s="4"/>
      <c r="F1706" s="4"/>
      <c r="G1706" s="4"/>
      <c r="H1706" s="4"/>
      <c r="I1706" s="4"/>
      <c r="J1706" s="4"/>
      <c r="K1706" s="4"/>
      <c r="L1706" s="4"/>
      <c r="M1706" s="4"/>
      <c r="N1706" s="4"/>
      <c r="O1706" s="4"/>
      <c r="P1706" s="4"/>
      <c r="Q1706" s="4"/>
      <c r="R1706" s="4"/>
      <c r="S1706" s="4"/>
      <c r="T1706" s="4"/>
      <c r="U1706" s="4"/>
      <c r="V1706" s="4"/>
      <c r="W1706" s="4"/>
      <c r="X1706" s="4"/>
      <c r="Y1706" s="4"/>
      <c r="Z1706" s="4"/>
      <c r="AA1706" s="4"/>
      <c r="AB1706" s="5"/>
    </row>
    <row r="1707" spans="1:28" x14ac:dyDescent="0.35">
      <c r="A1707" s="3"/>
      <c r="B1707" s="4"/>
      <c r="C1707" s="4"/>
      <c r="D1707" s="4"/>
      <c r="E1707" s="4"/>
      <c r="F1707" s="4"/>
      <c r="G1707" s="4"/>
      <c r="H1707" s="4"/>
      <c r="I1707" s="4"/>
      <c r="J1707" s="4"/>
      <c r="K1707" s="4"/>
      <c r="L1707" s="4"/>
      <c r="M1707" s="4"/>
      <c r="N1707" s="4"/>
      <c r="O1707" s="4"/>
      <c r="P1707" s="4"/>
      <c r="Q1707" s="4"/>
      <c r="R1707" s="4"/>
      <c r="S1707" s="4"/>
      <c r="T1707" s="4"/>
      <c r="U1707" s="4"/>
      <c r="V1707" s="4"/>
      <c r="W1707" s="4"/>
      <c r="X1707" s="4"/>
      <c r="Y1707" s="4"/>
      <c r="Z1707" s="4"/>
      <c r="AA1707" s="4"/>
      <c r="AB1707" s="5"/>
    </row>
    <row r="1708" spans="1:28" x14ac:dyDescent="0.35">
      <c r="A1708" s="3"/>
      <c r="B1708" s="4"/>
      <c r="C1708" s="4"/>
      <c r="D1708" s="4"/>
      <c r="E1708" s="4"/>
      <c r="F1708" s="4"/>
      <c r="G1708" s="4"/>
      <c r="H1708" s="4"/>
      <c r="I1708" s="4"/>
      <c r="J1708" s="4"/>
      <c r="K1708" s="4"/>
      <c r="L1708" s="4"/>
      <c r="M1708" s="4"/>
      <c r="N1708" s="4"/>
      <c r="O1708" s="4"/>
      <c r="P1708" s="4"/>
      <c r="Q1708" s="4"/>
      <c r="R1708" s="4"/>
      <c r="S1708" s="4"/>
      <c r="T1708" s="4"/>
      <c r="U1708" s="4"/>
      <c r="V1708" s="4"/>
      <c r="W1708" s="4"/>
      <c r="X1708" s="4"/>
      <c r="Y1708" s="4"/>
      <c r="Z1708" s="4"/>
      <c r="AA1708" s="4"/>
      <c r="AB1708" s="5"/>
    </row>
    <row r="1709" spans="1:28" x14ac:dyDescent="0.35">
      <c r="A1709" s="3"/>
      <c r="B1709" s="4"/>
      <c r="C1709" s="4"/>
      <c r="D1709" s="4"/>
      <c r="E1709" s="4"/>
      <c r="F1709" s="4"/>
      <c r="G1709" s="4"/>
      <c r="H1709" s="4"/>
      <c r="I1709" s="4"/>
      <c r="J1709" s="4"/>
      <c r="K1709" s="4"/>
      <c r="L1709" s="4"/>
      <c r="M1709" s="4"/>
      <c r="N1709" s="4"/>
      <c r="O1709" s="4"/>
      <c r="P1709" s="4"/>
      <c r="Q1709" s="4"/>
      <c r="R1709" s="4"/>
      <c r="S1709" s="4"/>
      <c r="T1709" s="4"/>
      <c r="U1709" s="4"/>
      <c r="V1709" s="4"/>
      <c r="W1709" s="4"/>
      <c r="X1709" s="4"/>
      <c r="Y1709" s="4"/>
      <c r="Z1709" s="4"/>
      <c r="AA1709" s="4"/>
      <c r="AB1709" s="5"/>
    </row>
    <row r="1710" spans="1:28" x14ac:dyDescent="0.35">
      <c r="A1710" s="3"/>
      <c r="B1710" s="4"/>
      <c r="C1710" s="4"/>
      <c r="D1710" s="4"/>
      <c r="E1710" s="4"/>
      <c r="F1710" s="4"/>
      <c r="G1710" s="4"/>
      <c r="H1710" s="4"/>
      <c r="I1710" s="4"/>
      <c r="J1710" s="4"/>
      <c r="K1710" s="4"/>
      <c r="L1710" s="4"/>
      <c r="M1710" s="4"/>
      <c r="N1710" s="4"/>
      <c r="O1710" s="4"/>
      <c r="P1710" s="4"/>
      <c r="Q1710" s="4"/>
      <c r="R1710" s="4"/>
      <c r="S1710" s="4"/>
      <c r="T1710" s="4"/>
      <c r="U1710" s="4"/>
      <c r="V1710" s="4"/>
      <c r="W1710" s="4"/>
      <c r="X1710" s="4"/>
      <c r="Y1710" s="4"/>
      <c r="Z1710" s="4"/>
      <c r="AA1710" s="4"/>
      <c r="AB1710" s="5"/>
    </row>
    <row r="1711" spans="1:28" x14ac:dyDescent="0.35">
      <c r="A1711" s="3"/>
      <c r="B1711" s="4"/>
      <c r="C1711" s="4"/>
      <c r="D1711" s="4"/>
      <c r="E1711" s="4"/>
      <c r="F1711" s="4"/>
      <c r="G1711" s="4"/>
      <c r="H1711" s="4"/>
      <c r="I1711" s="4"/>
      <c r="J1711" s="4"/>
      <c r="K1711" s="4"/>
      <c r="L1711" s="4"/>
      <c r="M1711" s="4"/>
      <c r="N1711" s="4"/>
      <c r="O1711" s="4"/>
      <c r="P1711" s="4"/>
      <c r="Q1711" s="4"/>
      <c r="R1711" s="4"/>
      <c r="S1711" s="4"/>
      <c r="T1711" s="4"/>
      <c r="U1711" s="4"/>
      <c r="V1711" s="4"/>
      <c r="W1711" s="4"/>
      <c r="X1711" s="4"/>
      <c r="Y1711" s="4"/>
      <c r="Z1711" s="4"/>
      <c r="AA1711" s="4"/>
      <c r="AB1711" s="5"/>
    </row>
    <row r="1712" spans="1:28" x14ac:dyDescent="0.35">
      <c r="A1712" s="3"/>
      <c r="B1712" s="4"/>
      <c r="C1712" s="4"/>
      <c r="D1712" s="4"/>
      <c r="E1712" s="4"/>
      <c r="F1712" s="4"/>
      <c r="G1712" s="4"/>
      <c r="H1712" s="4"/>
      <c r="I1712" s="4"/>
      <c r="J1712" s="4"/>
      <c r="K1712" s="4"/>
      <c r="L1712" s="4"/>
      <c r="M1712" s="4"/>
      <c r="N1712" s="4"/>
      <c r="O1712" s="4"/>
      <c r="P1712" s="4"/>
      <c r="Q1712" s="4"/>
      <c r="R1712" s="4"/>
      <c r="S1712" s="4"/>
      <c r="T1712" s="4"/>
      <c r="U1712" s="4"/>
      <c r="V1712" s="4"/>
      <c r="W1712" s="4"/>
      <c r="X1712" s="4"/>
      <c r="Y1712" s="4"/>
      <c r="Z1712" s="4"/>
      <c r="AA1712" s="4"/>
      <c r="AB1712" s="5"/>
    </row>
    <row r="1713" spans="1:28" x14ac:dyDescent="0.35">
      <c r="A1713" s="3"/>
      <c r="B1713" s="4"/>
      <c r="C1713" s="4"/>
      <c r="D1713" s="4"/>
      <c r="E1713" s="4"/>
      <c r="F1713" s="4"/>
      <c r="G1713" s="4"/>
      <c r="H1713" s="4"/>
      <c r="I1713" s="4"/>
      <c r="J1713" s="4"/>
      <c r="K1713" s="4"/>
      <c r="L1713" s="4"/>
      <c r="M1713" s="4"/>
      <c r="N1713" s="4"/>
      <c r="O1713" s="4"/>
      <c r="P1713" s="4"/>
      <c r="Q1713" s="4"/>
      <c r="R1713" s="4"/>
      <c r="S1713" s="4"/>
      <c r="T1713" s="4"/>
      <c r="U1713" s="4"/>
      <c r="V1713" s="4"/>
      <c r="W1713" s="4"/>
      <c r="X1713" s="4"/>
      <c r="Y1713" s="4"/>
      <c r="Z1713" s="4"/>
      <c r="AA1713" s="4"/>
      <c r="AB1713" s="5"/>
    </row>
    <row r="1714" spans="1:28" x14ac:dyDescent="0.35">
      <c r="A1714" s="3"/>
      <c r="B1714" s="4"/>
      <c r="C1714" s="4"/>
      <c r="D1714" s="4"/>
      <c r="E1714" s="4"/>
      <c r="F1714" s="4"/>
      <c r="G1714" s="4"/>
      <c r="H1714" s="4"/>
      <c r="I1714" s="4"/>
      <c r="J1714" s="4"/>
      <c r="K1714" s="4"/>
      <c r="L1714" s="4"/>
      <c r="M1714" s="4"/>
      <c r="N1714" s="4"/>
      <c r="O1714" s="4"/>
      <c r="P1714" s="4"/>
      <c r="Q1714" s="4"/>
      <c r="R1714" s="4"/>
      <c r="S1714" s="4"/>
      <c r="T1714" s="4"/>
      <c r="U1714" s="4"/>
      <c r="V1714" s="4"/>
      <c r="W1714" s="4"/>
      <c r="X1714" s="4"/>
      <c r="Y1714" s="4"/>
      <c r="Z1714" s="4"/>
      <c r="AA1714" s="4"/>
      <c r="AB1714" s="5"/>
    </row>
    <row r="1715" spans="1:28" x14ac:dyDescent="0.35">
      <c r="A1715" s="3"/>
      <c r="B1715" s="4"/>
      <c r="C1715" s="4"/>
      <c r="D1715" s="4"/>
      <c r="E1715" s="4"/>
      <c r="F1715" s="4"/>
      <c r="G1715" s="4"/>
      <c r="H1715" s="4"/>
      <c r="I1715" s="4"/>
      <c r="J1715" s="4"/>
      <c r="K1715" s="4"/>
      <c r="L1715" s="4"/>
      <c r="M1715" s="4"/>
      <c r="N1715" s="4"/>
      <c r="O1715" s="4"/>
      <c r="P1715" s="4"/>
      <c r="Q1715" s="4"/>
      <c r="R1715" s="4"/>
      <c r="S1715" s="4"/>
      <c r="T1715" s="4"/>
      <c r="U1715" s="4"/>
      <c r="V1715" s="4"/>
      <c r="W1715" s="4"/>
      <c r="X1715" s="4"/>
      <c r="Y1715" s="4"/>
      <c r="Z1715" s="4"/>
      <c r="AA1715" s="4"/>
      <c r="AB1715" s="5"/>
    </row>
    <row r="1716" spans="1:28" x14ac:dyDescent="0.35">
      <c r="A1716" s="3"/>
      <c r="B1716" s="4"/>
      <c r="C1716" s="4"/>
      <c r="D1716" s="4"/>
      <c r="E1716" s="4"/>
      <c r="F1716" s="4"/>
      <c r="G1716" s="4"/>
      <c r="H1716" s="4"/>
      <c r="I1716" s="4"/>
      <c r="J1716" s="4"/>
      <c r="K1716" s="4"/>
      <c r="L1716" s="4"/>
      <c r="M1716" s="4"/>
      <c r="N1716" s="4"/>
      <c r="O1716" s="4"/>
      <c r="P1716" s="4"/>
      <c r="Q1716" s="4"/>
      <c r="R1716" s="4"/>
      <c r="S1716" s="4"/>
      <c r="T1716" s="4"/>
      <c r="U1716" s="4"/>
      <c r="V1716" s="4"/>
      <c r="W1716" s="4"/>
      <c r="X1716" s="4"/>
      <c r="Y1716" s="4"/>
      <c r="Z1716" s="4"/>
      <c r="AA1716" s="4"/>
      <c r="AB1716" s="5"/>
    </row>
    <row r="1717" spans="1:28" x14ac:dyDescent="0.35">
      <c r="A1717" s="3"/>
      <c r="B1717" s="4"/>
      <c r="C1717" s="4"/>
      <c r="D1717" s="4"/>
      <c r="E1717" s="4"/>
      <c r="F1717" s="4"/>
      <c r="G1717" s="4"/>
      <c r="H1717" s="4"/>
      <c r="I1717" s="4"/>
      <c r="J1717" s="4"/>
      <c r="K1717" s="4"/>
      <c r="L1717" s="4"/>
      <c r="M1717" s="4"/>
      <c r="N1717" s="4"/>
      <c r="O1717" s="4"/>
      <c r="P1717" s="4"/>
      <c r="Q1717" s="4"/>
      <c r="R1717" s="4"/>
      <c r="S1717" s="4"/>
      <c r="T1717" s="4"/>
      <c r="U1717" s="4"/>
      <c r="V1717" s="4"/>
      <c r="W1717" s="4"/>
      <c r="X1717" s="4"/>
      <c r="Y1717" s="4"/>
      <c r="Z1717" s="4"/>
      <c r="AA1717" s="4"/>
      <c r="AB1717" s="5"/>
    </row>
    <row r="1718" spans="1:28" x14ac:dyDescent="0.35">
      <c r="A1718" s="3"/>
      <c r="B1718" s="4"/>
      <c r="C1718" s="4"/>
      <c r="D1718" s="4"/>
      <c r="E1718" s="4"/>
      <c r="F1718" s="4"/>
      <c r="G1718" s="4"/>
      <c r="H1718" s="4"/>
      <c r="I1718" s="4"/>
      <c r="J1718" s="4"/>
      <c r="K1718" s="4"/>
      <c r="L1718" s="4"/>
      <c r="M1718" s="4"/>
      <c r="N1718" s="4"/>
      <c r="O1718" s="4"/>
      <c r="P1718" s="4"/>
      <c r="Q1718" s="4"/>
      <c r="R1718" s="4"/>
      <c r="S1718" s="4"/>
      <c r="T1718" s="4"/>
      <c r="U1718" s="4"/>
      <c r="V1718" s="4"/>
      <c r="W1718" s="4"/>
      <c r="X1718" s="4"/>
      <c r="Y1718" s="4"/>
      <c r="Z1718" s="4"/>
      <c r="AA1718" s="4"/>
      <c r="AB1718" s="5"/>
    </row>
    <row r="1719" spans="1:28" x14ac:dyDescent="0.35">
      <c r="A1719" s="3"/>
      <c r="B1719" s="4"/>
      <c r="C1719" s="4"/>
      <c r="D1719" s="4"/>
      <c r="E1719" s="4"/>
      <c r="F1719" s="4"/>
      <c r="G1719" s="4"/>
      <c r="H1719" s="4"/>
      <c r="I1719" s="4"/>
      <c r="J1719" s="4"/>
      <c r="K1719" s="4"/>
      <c r="L1719" s="4"/>
      <c r="M1719" s="4"/>
      <c r="N1719" s="4"/>
      <c r="O1719" s="4"/>
      <c r="P1719" s="4"/>
      <c r="Q1719" s="4"/>
      <c r="R1719" s="4"/>
      <c r="S1719" s="4"/>
      <c r="T1719" s="4"/>
      <c r="U1719" s="4"/>
      <c r="V1719" s="4"/>
      <c r="W1719" s="4"/>
      <c r="X1719" s="4"/>
      <c r="Y1719" s="4"/>
      <c r="Z1719" s="4"/>
      <c r="AA1719" s="4"/>
      <c r="AB1719" s="5"/>
    </row>
    <row r="1720" spans="1:28" x14ac:dyDescent="0.35">
      <c r="A1720" s="3"/>
      <c r="B1720" s="4"/>
      <c r="C1720" s="4"/>
      <c r="D1720" s="4"/>
      <c r="E1720" s="4"/>
      <c r="F1720" s="4"/>
      <c r="G1720" s="4"/>
      <c r="H1720" s="4"/>
      <c r="I1720" s="4"/>
      <c r="J1720" s="4"/>
      <c r="K1720" s="4"/>
      <c r="L1720" s="4"/>
      <c r="M1720" s="4"/>
      <c r="N1720" s="4"/>
      <c r="O1720" s="4"/>
      <c r="P1720" s="4"/>
      <c r="Q1720" s="4"/>
      <c r="R1720" s="4"/>
      <c r="S1720" s="4"/>
      <c r="T1720" s="4"/>
      <c r="U1720" s="4"/>
      <c r="V1720" s="4"/>
      <c r="W1720" s="4"/>
      <c r="X1720" s="4"/>
      <c r="Y1720" s="4"/>
      <c r="Z1720" s="4"/>
      <c r="AA1720" s="4"/>
      <c r="AB1720" s="5"/>
    </row>
    <row r="1721" spans="1:28" x14ac:dyDescent="0.35">
      <c r="A1721" s="3"/>
      <c r="B1721" s="4"/>
      <c r="C1721" s="4"/>
      <c r="D1721" s="4"/>
      <c r="E1721" s="4"/>
      <c r="F1721" s="4"/>
      <c r="G1721" s="4"/>
      <c r="H1721" s="4"/>
      <c r="I1721" s="4"/>
      <c r="J1721" s="4"/>
      <c r="K1721" s="4"/>
      <c r="L1721" s="4"/>
      <c r="M1721" s="4"/>
      <c r="N1721" s="4"/>
      <c r="O1721" s="4"/>
      <c r="P1721" s="4"/>
      <c r="Q1721" s="4"/>
      <c r="R1721" s="4"/>
      <c r="S1721" s="4"/>
      <c r="T1721" s="4"/>
      <c r="U1721" s="4"/>
      <c r="V1721" s="4"/>
      <c r="W1721" s="4"/>
      <c r="X1721" s="4"/>
      <c r="Y1721" s="4"/>
      <c r="Z1721" s="4"/>
      <c r="AA1721" s="4"/>
      <c r="AB1721" s="5"/>
    </row>
    <row r="1722" spans="1:28" x14ac:dyDescent="0.35">
      <c r="A1722" s="3"/>
      <c r="B1722" s="4"/>
      <c r="C1722" s="4"/>
      <c r="D1722" s="4"/>
      <c r="E1722" s="4"/>
      <c r="F1722" s="4"/>
      <c r="G1722" s="4"/>
      <c r="H1722" s="4"/>
      <c r="I1722" s="4"/>
      <c r="J1722" s="4"/>
      <c r="K1722" s="4"/>
      <c r="L1722" s="4"/>
      <c r="M1722" s="4"/>
      <c r="N1722" s="4"/>
      <c r="O1722" s="4"/>
      <c r="P1722" s="4"/>
      <c r="Q1722" s="4"/>
      <c r="R1722" s="4"/>
      <c r="S1722" s="4"/>
      <c r="T1722" s="4"/>
      <c r="U1722" s="4"/>
      <c r="V1722" s="4"/>
      <c r="W1722" s="4"/>
      <c r="X1722" s="4"/>
      <c r="Y1722" s="4"/>
      <c r="Z1722" s="4"/>
      <c r="AA1722" s="4"/>
      <c r="AB1722" s="5"/>
    </row>
    <row r="1723" spans="1:28" x14ac:dyDescent="0.35">
      <c r="A1723" s="3"/>
      <c r="B1723" s="4"/>
      <c r="C1723" s="4"/>
      <c r="D1723" s="4"/>
      <c r="E1723" s="4"/>
      <c r="F1723" s="4"/>
      <c r="G1723" s="4"/>
      <c r="H1723" s="4"/>
      <c r="I1723" s="4"/>
      <c r="J1723" s="4"/>
      <c r="K1723" s="4"/>
      <c r="L1723" s="4"/>
      <c r="M1723" s="4"/>
      <c r="N1723" s="4"/>
      <c r="O1723" s="4"/>
      <c r="P1723" s="4"/>
      <c r="Q1723" s="4"/>
      <c r="R1723" s="4"/>
      <c r="S1723" s="4"/>
      <c r="T1723" s="4"/>
      <c r="U1723" s="4"/>
      <c r="V1723" s="4"/>
      <c r="W1723" s="4"/>
      <c r="X1723" s="4"/>
      <c r="Y1723" s="4"/>
      <c r="Z1723" s="4"/>
      <c r="AA1723" s="4"/>
      <c r="AB1723" s="5"/>
    </row>
    <row r="1724" spans="1:28" x14ac:dyDescent="0.35">
      <c r="A1724" s="3"/>
      <c r="B1724" s="4"/>
      <c r="C1724" s="4"/>
      <c r="D1724" s="4"/>
      <c r="E1724" s="4"/>
      <c r="F1724" s="4"/>
      <c r="G1724" s="4"/>
      <c r="H1724" s="4"/>
      <c r="I1724" s="4"/>
      <c r="J1724" s="4"/>
      <c r="K1724" s="4"/>
      <c r="L1724" s="4"/>
      <c r="M1724" s="4"/>
      <c r="N1724" s="4"/>
      <c r="O1724" s="4"/>
      <c r="P1724" s="4"/>
      <c r="Q1724" s="4"/>
      <c r="R1724" s="4"/>
      <c r="S1724" s="4"/>
      <c r="T1724" s="4"/>
      <c r="U1724" s="4"/>
      <c r="V1724" s="4"/>
      <c r="W1724" s="4"/>
      <c r="X1724" s="4"/>
      <c r="Y1724" s="4"/>
      <c r="Z1724" s="4"/>
      <c r="AA1724" s="4"/>
      <c r="AB1724" s="5"/>
    </row>
    <row r="1725" spans="1:28" x14ac:dyDescent="0.35">
      <c r="A1725" s="3"/>
      <c r="B1725" s="4"/>
      <c r="C1725" s="4"/>
      <c r="D1725" s="4"/>
      <c r="E1725" s="4"/>
      <c r="F1725" s="4"/>
      <c r="G1725" s="4"/>
      <c r="H1725" s="4"/>
      <c r="I1725" s="4"/>
      <c r="J1725" s="4"/>
      <c r="K1725" s="4"/>
      <c r="L1725" s="4"/>
      <c r="M1725" s="4"/>
      <c r="N1725" s="4"/>
      <c r="O1725" s="4"/>
      <c r="P1725" s="4"/>
      <c r="Q1725" s="4"/>
      <c r="R1725" s="4"/>
      <c r="S1725" s="4"/>
      <c r="T1725" s="4"/>
      <c r="U1725" s="4"/>
      <c r="V1725" s="4"/>
      <c r="W1725" s="4"/>
      <c r="X1725" s="4"/>
      <c r="Y1725" s="4"/>
      <c r="Z1725" s="4"/>
      <c r="AA1725" s="4"/>
      <c r="AB1725" s="5"/>
    </row>
    <row r="1726" spans="1:28" x14ac:dyDescent="0.35">
      <c r="A1726" s="3"/>
      <c r="B1726" s="4"/>
      <c r="C1726" s="4"/>
      <c r="D1726" s="4"/>
      <c r="E1726" s="4"/>
      <c r="F1726" s="4"/>
      <c r="G1726" s="4"/>
      <c r="H1726" s="4"/>
      <c r="I1726" s="4"/>
      <c r="J1726" s="4"/>
      <c r="K1726" s="4"/>
      <c r="L1726" s="4"/>
      <c r="M1726" s="4"/>
      <c r="N1726" s="4"/>
      <c r="O1726" s="4"/>
      <c r="P1726" s="4"/>
      <c r="Q1726" s="4"/>
      <c r="R1726" s="4"/>
      <c r="S1726" s="4"/>
      <c r="T1726" s="4"/>
      <c r="U1726" s="4"/>
      <c r="V1726" s="4"/>
      <c r="W1726" s="4"/>
      <c r="X1726" s="4"/>
      <c r="Y1726" s="4"/>
      <c r="Z1726" s="4"/>
      <c r="AA1726" s="4"/>
      <c r="AB1726" s="5"/>
    </row>
    <row r="1727" spans="1:28" x14ac:dyDescent="0.35">
      <c r="A1727" s="3"/>
      <c r="B1727" s="4"/>
      <c r="C1727" s="4"/>
      <c r="D1727" s="4"/>
      <c r="E1727" s="4"/>
      <c r="F1727" s="4"/>
      <c r="G1727" s="4"/>
      <c r="H1727" s="4"/>
      <c r="I1727" s="4"/>
      <c r="J1727" s="4"/>
      <c r="K1727" s="4"/>
      <c r="L1727" s="4"/>
      <c r="M1727" s="4"/>
      <c r="N1727" s="4"/>
      <c r="O1727" s="4"/>
      <c r="P1727" s="4"/>
      <c r="Q1727" s="4"/>
      <c r="R1727" s="4"/>
      <c r="S1727" s="4"/>
      <c r="T1727" s="4"/>
      <c r="U1727" s="4"/>
      <c r="V1727" s="4"/>
      <c r="W1727" s="4"/>
      <c r="X1727" s="4"/>
      <c r="Y1727" s="4"/>
      <c r="Z1727" s="4"/>
      <c r="AA1727" s="4"/>
      <c r="AB1727" s="5"/>
    </row>
    <row r="1728" spans="1:28" x14ac:dyDescent="0.35">
      <c r="A1728" s="3"/>
      <c r="B1728" s="4"/>
      <c r="C1728" s="4"/>
      <c r="D1728" s="4"/>
      <c r="E1728" s="4"/>
      <c r="F1728" s="4"/>
      <c r="G1728" s="4"/>
      <c r="H1728" s="4"/>
      <c r="I1728" s="4"/>
      <c r="J1728" s="4"/>
      <c r="K1728" s="4"/>
      <c r="L1728" s="4"/>
      <c r="M1728" s="4"/>
      <c r="N1728" s="4"/>
      <c r="O1728" s="4"/>
      <c r="P1728" s="4"/>
      <c r="Q1728" s="4"/>
      <c r="R1728" s="4"/>
      <c r="S1728" s="4"/>
      <c r="T1728" s="4"/>
      <c r="U1728" s="4"/>
      <c r="V1728" s="4"/>
      <c r="W1728" s="4"/>
      <c r="X1728" s="4"/>
      <c r="Y1728" s="4"/>
      <c r="Z1728" s="4"/>
      <c r="AA1728" s="4"/>
      <c r="AB1728" s="5"/>
    </row>
    <row r="1729" spans="1:28" x14ac:dyDescent="0.35">
      <c r="A1729" s="3"/>
      <c r="B1729" s="4"/>
      <c r="C1729" s="4"/>
      <c r="D1729" s="4"/>
      <c r="E1729" s="4"/>
      <c r="F1729" s="4"/>
      <c r="G1729" s="4"/>
      <c r="H1729" s="4"/>
      <c r="I1729" s="4"/>
      <c r="J1729" s="4"/>
      <c r="K1729" s="4"/>
      <c r="L1729" s="4"/>
      <c r="M1729" s="4"/>
      <c r="N1729" s="4"/>
      <c r="O1729" s="4"/>
      <c r="P1729" s="4"/>
      <c r="Q1729" s="4"/>
      <c r="R1729" s="4"/>
      <c r="S1729" s="4"/>
      <c r="T1729" s="4"/>
      <c r="U1729" s="4"/>
      <c r="V1729" s="4"/>
      <c r="W1729" s="4"/>
      <c r="X1729" s="4"/>
      <c r="Y1729" s="4"/>
      <c r="Z1729" s="4"/>
      <c r="AA1729" s="4"/>
      <c r="AB1729" s="5"/>
    </row>
    <row r="1730" spans="1:28" x14ac:dyDescent="0.35">
      <c r="A1730" s="3"/>
      <c r="B1730" s="4"/>
      <c r="C1730" s="4"/>
      <c r="D1730" s="4"/>
      <c r="E1730" s="4"/>
      <c r="F1730" s="4"/>
      <c r="G1730" s="4"/>
      <c r="H1730" s="4"/>
      <c r="I1730" s="4"/>
      <c r="J1730" s="4"/>
      <c r="K1730" s="4"/>
      <c r="L1730" s="4"/>
      <c r="M1730" s="4"/>
      <c r="N1730" s="4"/>
      <c r="O1730" s="4"/>
      <c r="P1730" s="4"/>
      <c r="Q1730" s="4"/>
      <c r="R1730" s="4"/>
      <c r="S1730" s="4"/>
      <c r="T1730" s="4"/>
      <c r="U1730" s="4"/>
      <c r="V1730" s="4"/>
      <c r="W1730" s="4"/>
      <c r="X1730" s="4"/>
      <c r="Y1730" s="4"/>
      <c r="Z1730" s="4"/>
      <c r="AA1730" s="4"/>
      <c r="AB1730" s="5"/>
    </row>
    <row r="1731" spans="1:28" x14ac:dyDescent="0.35">
      <c r="A1731" s="3"/>
      <c r="B1731" s="4"/>
      <c r="C1731" s="4"/>
      <c r="D1731" s="4"/>
      <c r="E1731" s="4"/>
      <c r="F1731" s="4"/>
      <c r="G1731" s="4"/>
      <c r="H1731" s="4"/>
      <c r="I1731" s="4"/>
      <c r="J1731" s="4"/>
      <c r="K1731" s="4"/>
      <c r="L1731" s="4"/>
      <c r="M1731" s="4"/>
      <c r="N1731" s="4"/>
      <c r="O1731" s="4"/>
      <c r="P1731" s="4"/>
      <c r="Q1731" s="4"/>
      <c r="R1731" s="4"/>
      <c r="S1731" s="4"/>
      <c r="T1731" s="4"/>
      <c r="U1731" s="4"/>
      <c r="V1731" s="4"/>
      <c r="W1731" s="4"/>
      <c r="X1731" s="4"/>
      <c r="Y1731" s="4"/>
      <c r="Z1731" s="4"/>
      <c r="AA1731" s="4"/>
      <c r="AB1731" s="5"/>
    </row>
    <row r="1732" spans="1:28" x14ac:dyDescent="0.35">
      <c r="A1732" s="3"/>
      <c r="B1732" s="4"/>
      <c r="C1732" s="4"/>
      <c r="D1732" s="4"/>
      <c r="E1732" s="4"/>
      <c r="F1732" s="4"/>
      <c r="G1732" s="4"/>
      <c r="H1732" s="4"/>
      <c r="I1732" s="4"/>
      <c r="J1732" s="4"/>
      <c r="K1732" s="4"/>
      <c r="L1732" s="4"/>
      <c r="M1732" s="4"/>
      <c r="N1732" s="4"/>
      <c r="O1732" s="4"/>
      <c r="P1732" s="4"/>
      <c r="Q1732" s="4"/>
      <c r="R1732" s="4"/>
      <c r="S1732" s="4"/>
      <c r="T1732" s="4"/>
      <c r="U1732" s="4"/>
      <c r="V1732" s="4"/>
      <c r="W1732" s="4"/>
      <c r="X1732" s="4"/>
      <c r="Y1732" s="4"/>
      <c r="Z1732" s="4"/>
      <c r="AA1732" s="4"/>
      <c r="AB1732" s="5"/>
    </row>
    <row r="1733" spans="1:28" x14ac:dyDescent="0.35">
      <c r="A1733" s="3"/>
      <c r="B1733" s="4"/>
      <c r="C1733" s="4"/>
      <c r="D1733" s="4"/>
      <c r="E1733" s="4"/>
      <c r="F1733" s="4"/>
      <c r="G1733" s="4"/>
      <c r="H1733" s="4"/>
      <c r="I1733" s="4"/>
      <c r="J1733" s="4"/>
      <c r="K1733" s="4"/>
      <c r="L1733" s="4"/>
      <c r="M1733" s="4"/>
      <c r="N1733" s="4"/>
      <c r="O1733" s="4"/>
      <c r="P1733" s="4"/>
      <c r="Q1733" s="4"/>
      <c r="R1733" s="4"/>
      <c r="S1733" s="4"/>
      <c r="T1733" s="4"/>
      <c r="U1733" s="4"/>
      <c r="V1733" s="4"/>
      <c r="W1733" s="4"/>
      <c r="X1733" s="4"/>
      <c r="Y1733" s="4"/>
      <c r="Z1733" s="4"/>
      <c r="AA1733" s="4"/>
      <c r="AB1733" s="5"/>
    </row>
    <row r="1734" spans="1:28" x14ac:dyDescent="0.35">
      <c r="A1734" s="3"/>
      <c r="B1734" s="4"/>
      <c r="C1734" s="4"/>
      <c r="D1734" s="4"/>
      <c r="E1734" s="4"/>
      <c r="F1734" s="4"/>
      <c r="G1734" s="4"/>
      <c r="H1734" s="4"/>
      <c r="I1734" s="4"/>
      <c r="J1734" s="4"/>
      <c r="K1734" s="4"/>
      <c r="L1734" s="4"/>
      <c r="M1734" s="4"/>
      <c r="N1734" s="4"/>
      <c r="O1734" s="4"/>
      <c r="P1734" s="4"/>
      <c r="Q1734" s="4"/>
      <c r="R1734" s="4"/>
      <c r="S1734" s="4"/>
      <c r="T1734" s="4"/>
      <c r="U1734" s="4"/>
      <c r="V1734" s="4"/>
      <c r="W1734" s="4"/>
      <c r="X1734" s="4"/>
      <c r="Y1734" s="4"/>
      <c r="Z1734" s="4"/>
      <c r="AA1734" s="4"/>
      <c r="AB1734" s="5"/>
    </row>
    <row r="1735" spans="1:28" x14ac:dyDescent="0.35">
      <c r="A1735" s="3"/>
      <c r="B1735" s="4"/>
      <c r="C1735" s="4"/>
      <c r="D1735" s="4"/>
      <c r="E1735" s="4"/>
      <c r="F1735" s="4"/>
      <c r="G1735" s="4"/>
      <c r="H1735" s="4"/>
      <c r="I1735" s="4"/>
      <c r="J1735" s="4"/>
      <c r="K1735" s="4"/>
      <c r="L1735" s="4"/>
      <c r="M1735" s="4"/>
      <c r="N1735" s="4"/>
      <c r="O1735" s="4"/>
      <c r="P1735" s="4"/>
      <c r="Q1735" s="4"/>
      <c r="R1735" s="4"/>
      <c r="S1735" s="4"/>
      <c r="T1735" s="4"/>
      <c r="U1735" s="4"/>
      <c r="V1735" s="4"/>
      <c r="W1735" s="4"/>
      <c r="X1735" s="4"/>
      <c r="Y1735" s="4"/>
      <c r="Z1735" s="4"/>
      <c r="AA1735" s="4"/>
      <c r="AB1735" s="5"/>
    </row>
    <row r="1736" spans="1:28" x14ac:dyDescent="0.35">
      <c r="A1736" s="3"/>
      <c r="B1736" s="4"/>
      <c r="C1736" s="4"/>
      <c r="D1736" s="4"/>
      <c r="E1736" s="4"/>
      <c r="F1736" s="4"/>
      <c r="G1736" s="4"/>
      <c r="H1736" s="4"/>
      <c r="I1736" s="4"/>
      <c r="J1736" s="4"/>
      <c r="K1736" s="4"/>
      <c r="L1736" s="4"/>
      <c r="M1736" s="4"/>
      <c r="N1736" s="4"/>
      <c r="O1736" s="4"/>
      <c r="P1736" s="4"/>
      <c r="Q1736" s="4"/>
      <c r="R1736" s="4"/>
      <c r="S1736" s="4"/>
      <c r="T1736" s="4"/>
      <c r="U1736" s="4"/>
      <c r="V1736" s="4"/>
      <c r="W1736" s="4"/>
      <c r="X1736" s="4"/>
      <c r="Y1736" s="4"/>
      <c r="Z1736" s="4"/>
      <c r="AA1736" s="4"/>
      <c r="AB1736" s="5"/>
    </row>
    <row r="1737" spans="1:28" x14ac:dyDescent="0.35">
      <c r="A1737" s="3"/>
      <c r="B1737" s="4"/>
      <c r="C1737" s="4"/>
      <c r="D1737" s="4"/>
      <c r="E1737" s="4"/>
      <c r="F1737" s="4"/>
      <c r="G1737" s="4"/>
      <c r="H1737" s="4"/>
      <c r="I1737" s="4"/>
      <c r="J1737" s="4"/>
      <c r="K1737" s="4"/>
      <c r="L1737" s="4"/>
      <c r="M1737" s="4"/>
      <c r="N1737" s="4"/>
      <c r="O1737" s="4"/>
      <c r="P1737" s="4"/>
      <c r="Q1737" s="4"/>
      <c r="R1737" s="4"/>
      <c r="S1737" s="4"/>
      <c r="T1737" s="4"/>
      <c r="U1737" s="4"/>
      <c r="V1737" s="4"/>
      <c r="W1737" s="4"/>
      <c r="X1737" s="4"/>
      <c r="Y1737" s="4"/>
      <c r="Z1737" s="4"/>
      <c r="AA1737" s="4"/>
      <c r="AB1737" s="5"/>
    </row>
    <row r="1738" spans="1:28" x14ac:dyDescent="0.35">
      <c r="A1738" s="3"/>
      <c r="B1738" s="4"/>
      <c r="C1738" s="4"/>
      <c r="D1738" s="4"/>
      <c r="E1738" s="4"/>
      <c r="F1738" s="4"/>
      <c r="G1738" s="4"/>
      <c r="H1738" s="4"/>
      <c r="I1738" s="4"/>
      <c r="J1738" s="4"/>
      <c r="K1738" s="4"/>
      <c r="L1738" s="4"/>
      <c r="M1738" s="4"/>
      <c r="N1738" s="4"/>
      <c r="O1738" s="4"/>
      <c r="P1738" s="4"/>
      <c r="Q1738" s="4"/>
      <c r="R1738" s="4"/>
      <c r="S1738" s="4"/>
      <c r="T1738" s="4"/>
      <c r="U1738" s="4"/>
      <c r="V1738" s="4"/>
      <c r="W1738" s="4"/>
      <c r="X1738" s="4"/>
      <c r="Y1738" s="4"/>
      <c r="Z1738" s="4"/>
      <c r="AA1738" s="4"/>
      <c r="AB1738" s="5"/>
    </row>
    <row r="1739" spans="1:28" x14ac:dyDescent="0.35">
      <c r="A1739" s="3"/>
      <c r="B1739" s="4"/>
      <c r="C1739" s="4"/>
      <c r="D1739" s="4"/>
      <c r="E1739" s="4"/>
      <c r="F1739" s="4"/>
      <c r="G1739" s="4"/>
      <c r="H1739" s="4"/>
      <c r="I1739" s="4"/>
      <c r="J1739" s="4"/>
      <c r="K1739" s="4"/>
      <c r="L1739" s="4"/>
      <c r="M1739" s="4"/>
      <c r="N1739" s="4"/>
      <c r="O1739" s="4"/>
      <c r="P1739" s="4"/>
      <c r="Q1739" s="4"/>
      <c r="R1739" s="4"/>
      <c r="S1739" s="4"/>
      <c r="T1739" s="4"/>
      <c r="U1739" s="4"/>
      <c r="V1739" s="4"/>
      <c r="W1739" s="4"/>
      <c r="X1739" s="4"/>
      <c r="Y1739" s="4"/>
      <c r="Z1739" s="4"/>
      <c r="AA1739" s="4"/>
      <c r="AB1739" s="5"/>
    </row>
    <row r="1740" spans="1:28" x14ac:dyDescent="0.35">
      <c r="A1740" s="3"/>
      <c r="B1740" s="4"/>
      <c r="C1740" s="4"/>
      <c r="D1740" s="4"/>
      <c r="E1740" s="4"/>
      <c r="F1740" s="4"/>
      <c r="G1740" s="4"/>
      <c r="H1740" s="4"/>
      <c r="I1740" s="4"/>
      <c r="J1740" s="4"/>
      <c r="K1740" s="4"/>
      <c r="L1740" s="4"/>
      <c r="M1740" s="4"/>
      <c r="N1740" s="4"/>
      <c r="O1740" s="4"/>
      <c r="P1740" s="4"/>
      <c r="Q1740" s="4"/>
      <c r="R1740" s="4"/>
      <c r="S1740" s="4"/>
      <c r="T1740" s="4"/>
      <c r="U1740" s="4"/>
      <c r="V1740" s="4"/>
      <c r="W1740" s="4"/>
      <c r="X1740" s="4"/>
      <c r="Y1740" s="4"/>
      <c r="Z1740" s="4"/>
      <c r="AA1740" s="4"/>
      <c r="AB1740" s="5"/>
    </row>
    <row r="1741" spans="1:28" x14ac:dyDescent="0.35">
      <c r="A1741" s="3"/>
      <c r="B1741" s="4"/>
      <c r="C1741" s="4"/>
      <c r="D1741" s="4"/>
      <c r="E1741" s="4"/>
      <c r="F1741" s="4"/>
      <c r="G1741" s="4"/>
      <c r="H1741" s="4"/>
      <c r="I1741" s="4"/>
      <c r="J1741" s="4"/>
      <c r="K1741" s="4"/>
      <c r="L1741" s="4"/>
      <c r="M1741" s="4"/>
      <c r="N1741" s="4"/>
      <c r="O1741" s="4"/>
      <c r="P1741" s="4"/>
      <c r="Q1741" s="4"/>
      <c r="R1741" s="4"/>
      <c r="S1741" s="4"/>
      <c r="T1741" s="4"/>
      <c r="U1741" s="4"/>
      <c r="V1741" s="4"/>
      <c r="W1741" s="4"/>
      <c r="X1741" s="4"/>
      <c r="Y1741" s="4"/>
      <c r="Z1741" s="4"/>
      <c r="AA1741" s="4"/>
      <c r="AB1741" s="5"/>
    </row>
    <row r="1742" spans="1:28" x14ac:dyDescent="0.35">
      <c r="A1742" s="3"/>
      <c r="B1742" s="4"/>
      <c r="C1742" s="4"/>
      <c r="D1742" s="4"/>
      <c r="E1742" s="4"/>
      <c r="F1742" s="4"/>
      <c r="G1742" s="4"/>
      <c r="H1742" s="4"/>
      <c r="I1742" s="4"/>
      <c r="J1742" s="4"/>
      <c r="K1742" s="4"/>
      <c r="L1742" s="4"/>
      <c r="M1742" s="4"/>
      <c r="N1742" s="4"/>
      <c r="O1742" s="4"/>
      <c r="P1742" s="4"/>
      <c r="Q1742" s="4"/>
      <c r="R1742" s="4"/>
      <c r="S1742" s="4"/>
      <c r="T1742" s="4"/>
      <c r="U1742" s="4"/>
      <c r="V1742" s="4"/>
      <c r="W1742" s="4"/>
      <c r="X1742" s="4"/>
      <c r="Y1742" s="4"/>
      <c r="Z1742" s="4"/>
      <c r="AA1742" s="4"/>
      <c r="AB1742" s="5"/>
    </row>
    <row r="1743" spans="1:28" x14ac:dyDescent="0.35">
      <c r="A1743" s="3"/>
      <c r="B1743" s="4"/>
      <c r="C1743" s="4"/>
      <c r="D1743" s="4"/>
      <c r="E1743" s="4"/>
      <c r="F1743" s="4"/>
      <c r="G1743" s="4"/>
      <c r="H1743" s="4"/>
      <c r="I1743" s="4"/>
      <c r="J1743" s="4"/>
      <c r="K1743" s="4"/>
      <c r="L1743" s="4"/>
      <c r="M1743" s="4"/>
      <c r="N1743" s="4"/>
      <c r="O1743" s="4"/>
      <c r="P1743" s="4"/>
      <c r="Q1743" s="4"/>
      <c r="R1743" s="4"/>
      <c r="S1743" s="4"/>
      <c r="T1743" s="4"/>
      <c r="U1743" s="4"/>
      <c r="V1743" s="4"/>
      <c r="W1743" s="4"/>
      <c r="X1743" s="4"/>
      <c r="Y1743" s="4"/>
      <c r="Z1743" s="4"/>
      <c r="AA1743" s="4"/>
      <c r="AB1743" s="5"/>
    </row>
    <row r="1744" spans="1:28" x14ac:dyDescent="0.35">
      <c r="A1744" s="3"/>
      <c r="B1744" s="4"/>
      <c r="C1744" s="4"/>
      <c r="D1744" s="4"/>
      <c r="E1744" s="4"/>
      <c r="F1744" s="4"/>
      <c r="G1744" s="4"/>
      <c r="H1744" s="4"/>
      <c r="I1744" s="4"/>
      <c r="J1744" s="4"/>
      <c r="K1744" s="4"/>
      <c r="L1744" s="4"/>
      <c r="M1744" s="4"/>
      <c r="N1744" s="4"/>
      <c r="O1744" s="4"/>
      <c r="P1744" s="4"/>
      <c r="Q1744" s="4"/>
      <c r="R1744" s="4"/>
      <c r="S1744" s="4"/>
      <c r="T1744" s="4"/>
      <c r="U1744" s="4"/>
      <c r="V1744" s="4"/>
      <c r="W1744" s="4"/>
      <c r="X1744" s="4"/>
      <c r="Y1744" s="4"/>
      <c r="Z1744" s="4"/>
      <c r="AA1744" s="4"/>
      <c r="AB1744" s="5"/>
    </row>
    <row r="1745" spans="1:28" x14ac:dyDescent="0.35">
      <c r="A1745" s="3"/>
      <c r="B1745" s="4"/>
      <c r="C1745" s="4"/>
      <c r="D1745" s="4"/>
      <c r="E1745" s="4"/>
      <c r="F1745" s="4"/>
      <c r="G1745" s="4"/>
      <c r="H1745" s="4"/>
      <c r="I1745" s="4"/>
      <c r="J1745" s="4"/>
      <c r="K1745" s="4"/>
      <c r="L1745" s="4"/>
      <c r="M1745" s="4"/>
      <c r="N1745" s="4"/>
      <c r="O1745" s="4"/>
      <c r="P1745" s="4"/>
      <c r="Q1745" s="4"/>
      <c r="R1745" s="4"/>
      <c r="S1745" s="4"/>
      <c r="T1745" s="4"/>
      <c r="U1745" s="4"/>
      <c r="V1745" s="4"/>
      <c r="W1745" s="4"/>
      <c r="X1745" s="4"/>
      <c r="Y1745" s="4"/>
      <c r="Z1745" s="4"/>
      <c r="AA1745" s="4"/>
      <c r="AB1745" s="5"/>
    </row>
    <row r="1746" spans="1:28" x14ac:dyDescent="0.35">
      <c r="A1746" s="3"/>
      <c r="B1746" s="4"/>
      <c r="C1746" s="4"/>
      <c r="D1746" s="4"/>
      <c r="E1746" s="4"/>
      <c r="F1746" s="4"/>
      <c r="G1746" s="4"/>
      <c r="H1746" s="4"/>
      <c r="I1746" s="4"/>
      <c r="J1746" s="4"/>
      <c r="K1746" s="4"/>
      <c r="L1746" s="4"/>
      <c r="M1746" s="4"/>
      <c r="N1746" s="4"/>
      <c r="O1746" s="4"/>
      <c r="P1746" s="4"/>
      <c r="Q1746" s="4"/>
      <c r="R1746" s="4"/>
      <c r="S1746" s="4"/>
      <c r="T1746" s="4"/>
      <c r="U1746" s="4"/>
      <c r="V1746" s="4"/>
      <c r="W1746" s="4"/>
      <c r="X1746" s="4"/>
      <c r="Y1746" s="4"/>
      <c r="Z1746" s="4"/>
      <c r="AA1746" s="4"/>
      <c r="AB1746" s="5"/>
    </row>
    <row r="1747" spans="1:28" x14ac:dyDescent="0.35">
      <c r="A1747" s="3"/>
      <c r="B1747" s="4"/>
      <c r="C1747" s="4"/>
      <c r="D1747" s="4"/>
      <c r="E1747" s="4"/>
      <c r="F1747" s="4"/>
      <c r="G1747" s="4"/>
      <c r="H1747" s="4"/>
      <c r="I1747" s="4"/>
      <c r="J1747" s="4"/>
      <c r="K1747" s="4"/>
      <c r="L1747" s="4"/>
      <c r="M1747" s="4"/>
      <c r="N1747" s="4"/>
      <c r="O1747" s="4"/>
      <c r="P1747" s="4"/>
      <c r="Q1747" s="4"/>
      <c r="R1747" s="4"/>
      <c r="S1747" s="4"/>
      <c r="T1747" s="4"/>
      <c r="U1747" s="4"/>
      <c r="V1747" s="4"/>
      <c r="W1747" s="4"/>
      <c r="X1747" s="4"/>
      <c r="Y1747" s="4"/>
      <c r="Z1747" s="4"/>
      <c r="AA1747" s="4"/>
      <c r="AB1747" s="5"/>
    </row>
    <row r="1748" spans="1:28" x14ac:dyDescent="0.35">
      <c r="A1748" s="3"/>
      <c r="B1748" s="4"/>
      <c r="C1748" s="4"/>
      <c r="D1748" s="4"/>
      <c r="E1748" s="4"/>
      <c r="F1748" s="4"/>
      <c r="G1748" s="4"/>
      <c r="H1748" s="4"/>
      <c r="I1748" s="4"/>
      <c r="J1748" s="4"/>
      <c r="K1748" s="4"/>
      <c r="L1748" s="4"/>
      <c r="M1748" s="4"/>
      <c r="N1748" s="4"/>
      <c r="O1748" s="4"/>
      <c r="P1748" s="4"/>
      <c r="Q1748" s="4"/>
      <c r="R1748" s="4"/>
      <c r="S1748" s="4"/>
      <c r="T1748" s="4"/>
      <c r="U1748" s="4"/>
      <c r="V1748" s="4"/>
      <c r="W1748" s="4"/>
      <c r="X1748" s="4"/>
      <c r="Y1748" s="4"/>
      <c r="Z1748" s="4"/>
      <c r="AA1748" s="4"/>
      <c r="AB1748" s="5"/>
    </row>
    <row r="1749" spans="1:28" x14ac:dyDescent="0.35">
      <c r="A1749" s="3"/>
      <c r="B1749" s="4"/>
      <c r="C1749" s="4"/>
      <c r="D1749" s="4"/>
      <c r="E1749" s="4"/>
      <c r="F1749" s="4"/>
      <c r="G1749" s="4"/>
      <c r="H1749" s="4"/>
      <c r="I1749" s="4"/>
      <c r="J1749" s="4"/>
      <c r="K1749" s="4"/>
      <c r="L1749" s="4"/>
      <c r="M1749" s="4"/>
      <c r="N1749" s="4"/>
      <c r="O1749" s="4"/>
      <c r="P1749" s="4"/>
      <c r="Q1749" s="4"/>
      <c r="R1749" s="4"/>
      <c r="S1749" s="4"/>
      <c r="T1749" s="4"/>
      <c r="U1749" s="4"/>
      <c r="V1749" s="4"/>
      <c r="W1749" s="4"/>
      <c r="X1749" s="4"/>
      <c r="Y1749" s="4"/>
      <c r="Z1749" s="4"/>
      <c r="AA1749" s="4"/>
      <c r="AB1749" s="5"/>
    </row>
    <row r="1750" spans="1:28" x14ac:dyDescent="0.35">
      <c r="A1750" s="3"/>
      <c r="B1750" s="4"/>
      <c r="C1750" s="4"/>
      <c r="D1750" s="4"/>
      <c r="E1750" s="4"/>
      <c r="F1750" s="4"/>
      <c r="G1750" s="4"/>
      <c r="H1750" s="4"/>
      <c r="I1750" s="4"/>
      <c r="J1750" s="4"/>
      <c r="K1750" s="4"/>
      <c r="L1750" s="4"/>
      <c r="M1750" s="4"/>
      <c r="N1750" s="4"/>
      <c r="O1750" s="4"/>
      <c r="P1750" s="4"/>
      <c r="Q1750" s="4"/>
      <c r="R1750" s="4"/>
      <c r="S1750" s="4"/>
      <c r="T1750" s="4"/>
      <c r="U1750" s="4"/>
      <c r="V1750" s="4"/>
      <c r="W1750" s="4"/>
      <c r="X1750" s="4"/>
      <c r="Y1750" s="4"/>
      <c r="Z1750" s="4"/>
      <c r="AA1750" s="4"/>
      <c r="AB1750" s="5"/>
    </row>
    <row r="1751" spans="1:28" x14ac:dyDescent="0.35">
      <c r="A1751" s="3"/>
      <c r="B1751" s="4"/>
      <c r="C1751" s="4"/>
      <c r="D1751" s="4"/>
      <c r="E1751" s="4"/>
      <c r="F1751" s="4"/>
      <c r="G1751" s="4"/>
      <c r="H1751" s="4"/>
      <c r="I1751" s="4"/>
      <c r="J1751" s="4"/>
      <c r="K1751" s="4"/>
      <c r="L1751" s="4"/>
      <c r="M1751" s="4"/>
      <c r="N1751" s="4"/>
      <c r="O1751" s="4"/>
      <c r="P1751" s="4"/>
      <c r="Q1751" s="4"/>
      <c r="R1751" s="4"/>
      <c r="S1751" s="4"/>
      <c r="T1751" s="4"/>
      <c r="U1751" s="4"/>
      <c r="V1751" s="4"/>
      <c r="W1751" s="4"/>
      <c r="X1751" s="4"/>
      <c r="Y1751" s="4"/>
      <c r="Z1751" s="4"/>
      <c r="AA1751" s="4"/>
      <c r="AB1751" s="5"/>
    </row>
    <row r="1752" spans="1:28" x14ac:dyDescent="0.35">
      <c r="A1752" s="3"/>
      <c r="B1752" s="4"/>
      <c r="C1752" s="4"/>
      <c r="D1752" s="4"/>
      <c r="E1752" s="4"/>
      <c r="F1752" s="4"/>
      <c r="G1752" s="4"/>
      <c r="H1752" s="4"/>
      <c r="I1752" s="4"/>
      <c r="J1752" s="4"/>
      <c r="K1752" s="4"/>
      <c r="L1752" s="4"/>
      <c r="M1752" s="4"/>
      <c r="N1752" s="4"/>
      <c r="O1752" s="4"/>
      <c r="P1752" s="4"/>
      <c r="Q1752" s="4"/>
      <c r="R1752" s="4"/>
      <c r="S1752" s="4"/>
      <c r="T1752" s="4"/>
      <c r="U1752" s="4"/>
      <c r="V1752" s="4"/>
      <c r="W1752" s="4"/>
      <c r="X1752" s="4"/>
      <c r="Y1752" s="4"/>
      <c r="Z1752" s="4"/>
      <c r="AA1752" s="4"/>
      <c r="AB1752" s="5"/>
    </row>
    <row r="1753" spans="1:28" x14ac:dyDescent="0.35">
      <c r="A1753" s="3"/>
      <c r="B1753" s="4"/>
      <c r="C1753" s="4"/>
      <c r="D1753" s="4"/>
      <c r="E1753" s="4"/>
      <c r="F1753" s="4"/>
      <c r="G1753" s="4"/>
      <c r="H1753" s="4"/>
      <c r="I1753" s="4"/>
      <c r="J1753" s="4"/>
      <c r="K1753" s="4"/>
      <c r="L1753" s="4"/>
      <c r="M1753" s="4"/>
      <c r="N1753" s="4"/>
      <c r="O1753" s="4"/>
      <c r="P1753" s="4"/>
      <c r="Q1753" s="4"/>
      <c r="R1753" s="4"/>
      <c r="S1753" s="4"/>
      <c r="T1753" s="4"/>
      <c r="U1753" s="4"/>
      <c r="V1753" s="4"/>
      <c r="W1753" s="4"/>
      <c r="X1753" s="4"/>
      <c r="Y1753" s="4"/>
      <c r="Z1753" s="4"/>
      <c r="AA1753" s="4"/>
      <c r="AB1753" s="5"/>
    </row>
    <row r="1754" spans="1:28" x14ac:dyDescent="0.35">
      <c r="A1754" s="3"/>
      <c r="B1754" s="4"/>
      <c r="C1754" s="4"/>
      <c r="D1754" s="4"/>
      <c r="E1754" s="4"/>
      <c r="F1754" s="4"/>
      <c r="G1754" s="4"/>
      <c r="H1754" s="4"/>
      <c r="I1754" s="4"/>
      <c r="J1754" s="4"/>
      <c r="K1754" s="4"/>
      <c r="L1754" s="4"/>
      <c r="M1754" s="4"/>
      <c r="N1754" s="4"/>
      <c r="O1754" s="4"/>
      <c r="P1754" s="4"/>
      <c r="Q1754" s="4"/>
      <c r="R1754" s="4"/>
      <c r="S1754" s="4"/>
      <c r="T1754" s="4"/>
      <c r="U1754" s="4"/>
      <c r="V1754" s="4"/>
      <c r="W1754" s="4"/>
      <c r="X1754" s="4"/>
      <c r="Y1754" s="4"/>
      <c r="Z1754" s="4"/>
      <c r="AA1754" s="4"/>
      <c r="AB1754" s="5"/>
    </row>
    <row r="1755" spans="1:28" x14ac:dyDescent="0.35">
      <c r="A1755" s="3"/>
      <c r="B1755" s="4"/>
      <c r="C1755" s="4"/>
      <c r="D1755" s="4"/>
      <c r="E1755" s="4"/>
      <c r="F1755" s="4"/>
      <c r="G1755" s="4"/>
      <c r="H1755" s="4"/>
      <c r="I1755" s="4"/>
      <c r="J1755" s="4"/>
      <c r="K1755" s="4"/>
      <c r="L1755" s="4"/>
      <c r="M1755" s="4"/>
      <c r="N1755" s="4"/>
      <c r="O1755" s="4"/>
      <c r="P1755" s="4"/>
      <c r="Q1755" s="4"/>
      <c r="R1755" s="4"/>
      <c r="S1755" s="4"/>
      <c r="T1755" s="4"/>
      <c r="U1755" s="4"/>
      <c r="V1755" s="4"/>
      <c r="W1755" s="4"/>
      <c r="X1755" s="4"/>
      <c r="Y1755" s="4"/>
      <c r="Z1755" s="4"/>
      <c r="AA1755" s="4"/>
      <c r="AB1755" s="5"/>
    </row>
    <row r="1756" spans="1:28" x14ac:dyDescent="0.35">
      <c r="A1756" s="3"/>
      <c r="B1756" s="4"/>
      <c r="C1756" s="4"/>
      <c r="D1756" s="4"/>
      <c r="E1756" s="4"/>
      <c r="F1756" s="4"/>
      <c r="G1756" s="4"/>
      <c r="H1756" s="4"/>
      <c r="I1756" s="4"/>
      <c r="J1756" s="4"/>
      <c r="K1756" s="4"/>
      <c r="L1756" s="4"/>
      <c r="M1756" s="4"/>
      <c r="N1756" s="4"/>
      <c r="O1756" s="4"/>
      <c r="P1756" s="4"/>
      <c r="Q1756" s="4"/>
      <c r="R1756" s="4"/>
      <c r="S1756" s="4"/>
      <c r="T1756" s="4"/>
      <c r="U1756" s="4"/>
      <c r="V1756" s="4"/>
      <c r="W1756" s="4"/>
      <c r="X1756" s="4"/>
      <c r="Y1756" s="4"/>
      <c r="Z1756" s="4"/>
      <c r="AA1756" s="4"/>
      <c r="AB1756" s="5"/>
    </row>
    <row r="1757" spans="1:28" x14ac:dyDescent="0.35">
      <c r="A1757" s="3"/>
      <c r="B1757" s="4"/>
      <c r="C1757" s="4"/>
      <c r="D1757" s="4"/>
      <c r="E1757" s="4"/>
      <c r="F1757" s="4"/>
      <c r="G1757" s="4"/>
      <c r="H1757" s="4"/>
      <c r="I1757" s="4"/>
      <c r="J1757" s="4"/>
      <c r="K1757" s="4"/>
      <c r="L1757" s="4"/>
      <c r="M1757" s="4"/>
      <c r="N1757" s="4"/>
      <c r="O1757" s="4"/>
      <c r="P1757" s="4"/>
      <c r="Q1757" s="4"/>
      <c r="R1757" s="4"/>
      <c r="S1757" s="4"/>
      <c r="T1757" s="4"/>
      <c r="U1757" s="4"/>
      <c r="V1757" s="4"/>
      <c r="W1757" s="4"/>
      <c r="X1757" s="4"/>
      <c r="Y1757" s="4"/>
      <c r="Z1757" s="4"/>
      <c r="AA1757" s="4"/>
      <c r="AB1757" s="5"/>
    </row>
    <row r="1758" spans="1:28" x14ac:dyDescent="0.35">
      <c r="A1758" s="3"/>
      <c r="B1758" s="4"/>
      <c r="C1758" s="4"/>
      <c r="D1758" s="4"/>
      <c r="E1758" s="4"/>
      <c r="F1758" s="4"/>
      <c r="G1758" s="4"/>
      <c r="H1758" s="4"/>
      <c r="I1758" s="4"/>
      <c r="J1758" s="4"/>
      <c r="K1758" s="4"/>
      <c r="L1758" s="4"/>
      <c r="M1758" s="4"/>
      <c r="N1758" s="4"/>
      <c r="O1758" s="4"/>
      <c r="P1758" s="4"/>
      <c r="Q1758" s="4"/>
      <c r="R1758" s="4"/>
      <c r="S1758" s="4"/>
      <c r="T1758" s="4"/>
      <c r="U1758" s="4"/>
      <c r="V1758" s="4"/>
      <c r="W1758" s="4"/>
      <c r="X1758" s="4"/>
      <c r="Y1758" s="4"/>
      <c r="Z1758" s="4"/>
      <c r="AA1758" s="4"/>
      <c r="AB1758" s="5"/>
    </row>
    <row r="1759" spans="1:28" x14ac:dyDescent="0.35">
      <c r="A1759" s="3"/>
      <c r="B1759" s="4"/>
      <c r="C1759" s="4"/>
      <c r="D1759" s="4"/>
      <c r="E1759" s="4"/>
      <c r="F1759" s="4"/>
      <c r="G1759" s="4"/>
      <c r="H1759" s="4"/>
      <c r="I1759" s="4"/>
      <c r="J1759" s="4"/>
      <c r="K1759" s="4"/>
      <c r="L1759" s="4"/>
      <c r="M1759" s="4"/>
      <c r="N1759" s="4"/>
      <c r="O1759" s="4"/>
      <c r="P1759" s="4"/>
      <c r="Q1759" s="4"/>
      <c r="R1759" s="4"/>
      <c r="S1759" s="4"/>
      <c r="T1759" s="4"/>
      <c r="U1759" s="4"/>
      <c r="V1759" s="4"/>
      <c r="W1759" s="4"/>
      <c r="X1759" s="4"/>
      <c r="Y1759" s="4"/>
      <c r="Z1759" s="4"/>
      <c r="AA1759" s="4"/>
      <c r="AB1759" s="5"/>
    </row>
    <row r="1760" spans="1:28" x14ac:dyDescent="0.35">
      <c r="A1760" s="3"/>
      <c r="B1760" s="4"/>
      <c r="C1760" s="4"/>
      <c r="D1760" s="4"/>
      <c r="E1760" s="4"/>
      <c r="F1760" s="4"/>
      <c r="G1760" s="4"/>
      <c r="H1760" s="4"/>
      <c r="I1760" s="4"/>
      <c r="J1760" s="4"/>
      <c r="K1760" s="4"/>
      <c r="L1760" s="4"/>
      <c r="M1760" s="4"/>
      <c r="N1760" s="4"/>
      <c r="O1760" s="4"/>
      <c r="P1760" s="4"/>
      <c r="Q1760" s="4"/>
      <c r="R1760" s="4"/>
      <c r="S1760" s="4"/>
      <c r="T1760" s="4"/>
      <c r="U1760" s="4"/>
      <c r="V1760" s="4"/>
      <c r="W1760" s="4"/>
      <c r="X1760" s="4"/>
      <c r="Y1760" s="4"/>
      <c r="Z1760" s="4"/>
      <c r="AA1760" s="4"/>
      <c r="AB1760" s="5"/>
    </row>
    <row r="1761" spans="1:28" x14ac:dyDescent="0.35">
      <c r="A1761" s="3"/>
      <c r="B1761" s="4"/>
      <c r="C1761" s="4"/>
      <c r="D1761" s="4"/>
      <c r="E1761" s="4"/>
      <c r="F1761" s="4"/>
      <c r="G1761" s="4"/>
      <c r="H1761" s="4"/>
      <c r="I1761" s="4"/>
      <c r="J1761" s="4"/>
      <c r="K1761" s="4"/>
      <c r="L1761" s="4"/>
      <c r="M1761" s="4"/>
      <c r="N1761" s="4"/>
      <c r="O1761" s="4"/>
      <c r="P1761" s="4"/>
      <c r="Q1761" s="4"/>
      <c r="R1761" s="4"/>
      <c r="S1761" s="4"/>
      <c r="T1761" s="4"/>
      <c r="U1761" s="4"/>
      <c r="V1761" s="4"/>
      <c r="W1761" s="4"/>
      <c r="X1761" s="4"/>
      <c r="Y1761" s="4"/>
      <c r="Z1761" s="4"/>
      <c r="AA1761" s="4"/>
      <c r="AB1761" s="5"/>
    </row>
    <row r="1762" spans="1:28" x14ac:dyDescent="0.35">
      <c r="A1762" s="3"/>
      <c r="B1762" s="4"/>
      <c r="C1762" s="4"/>
      <c r="D1762" s="4"/>
      <c r="E1762" s="4"/>
      <c r="F1762" s="4"/>
      <c r="G1762" s="4"/>
      <c r="H1762" s="4"/>
      <c r="I1762" s="4"/>
      <c r="J1762" s="4"/>
      <c r="K1762" s="4"/>
      <c r="L1762" s="4"/>
      <c r="M1762" s="4"/>
      <c r="N1762" s="4"/>
      <c r="O1762" s="4"/>
      <c r="P1762" s="4"/>
      <c r="Q1762" s="4"/>
      <c r="R1762" s="4"/>
      <c r="S1762" s="4"/>
      <c r="T1762" s="4"/>
      <c r="U1762" s="4"/>
      <c r="V1762" s="4"/>
      <c r="W1762" s="4"/>
      <c r="X1762" s="4"/>
      <c r="Y1762" s="4"/>
      <c r="Z1762" s="4"/>
      <c r="AA1762" s="4"/>
      <c r="AB1762" s="5"/>
    </row>
    <row r="1763" spans="1:28" x14ac:dyDescent="0.35">
      <c r="A1763" s="3"/>
      <c r="B1763" s="4"/>
      <c r="C1763" s="4"/>
      <c r="D1763" s="4"/>
      <c r="E1763" s="4"/>
      <c r="F1763" s="4"/>
      <c r="G1763" s="4"/>
      <c r="H1763" s="4"/>
      <c r="I1763" s="4"/>
      <c r="J1763" s="4"/>
      <c r="K1763" s="4"/>
      <c r="L1763" s="4"/>
      <c r="M1763" s="4"/>
      <c r="N1763" s="4"/>
      <c r="O1763" s="4"/>
      <c r="P1763" s="4"/>
      <c r="Q1763" s="4"/>
      <c r="R1763" s="4"/>
      <c r="S1763" s="4"/>
      <c r="T1763" s="4"/>
      <c r="U1763" s="4"/>
      <c r="V1763" s="4"/>
      <c r="W1763" s="4"/>
      <c r="X1763" s="4"/>
      <c r="Y1763" s="4"/>
      <c r="Z1763" s="4"/>
      <c r="AA1763" s="4"/>
      <c r="AB1763" s="5"/>
    </row>
    <row r="1764" spans="1:28" x14ac:dyDescent="0.35">
      <c r="A1764" s="3"/>
      <c r="B1764" s="4"/>
      <c r="C1764" s="4"/>
      <c r="D1764" s="4"/>
      <c r="E1764" s="4"/>
      <c r="F1764" s="4"/>
      <c r="G1764" s="4"/>
      <c r="H1764" s="4"/>
      <c r="I1764" s="4"/>
      <c r="J1764" s="4"/>
      <c r="K1764" s="4"/>
      <c r="L1764" s="4"/>
      <c r="M1764" s="4"/>
      <c r="N1764" s="4"/>
      <c r="O1764" s="4"/>
      <c r="P1764" s="4"/>
      <c r="Q1764" s="4"/>
      <c r="R1764" s="4"/>
      <c r="S1764" s="4"/>
      <c r="T1764" s="4"/>
      <c r="U1764" s="4"/>
      <c r="V1764" s="4"/>
      <c r="W1764" s="4"/>
      <c r="X1764" s="4"/>
      <c r="Y1764" s="4"/>
      <c r="Z1764" s="4"/>
      <c r="AA1764" s="4"/>
      <c r="AB1764" s="5"/>
    </row>
    <row r="1765" spans="1:28" x14ac:dyDescent="0.35">
      <c r="A1765" s="3"/>
      <c r="B1765" s="4"/>
      <c r="C1765" s="4"/>
      <c r="D1765" s="4"/>
      <c r="E1765" s="4"/>
      <c r="F1765" s="4"/>
      <c r="G1765" s="4"/>
      <c r="H1765" s="4"/>
      <c r="I1765" s="4"/>
      <c r="J1765" s="4"/>
      <c r="K1765" s="4"/>
      <c r="L1765" s="4"/>
      <c r="M1765" s="4"/>
      <c r="N1765" s="4"/>
      <c r="O1765" s="4"/>
      <c r="P1765" s="4"/>
      <c r="Q1765" s="4"/>
      <c r="R1765" s="4"/>
      <c r="S1765" s="4"/>
      <c r="T1765" s="4"/>
      <c r="U1765" s="4"/>
      <c r="V1765" s="4"/>
      <c r="W1765" s="4"/>
      <c r="X1765" s="4"/>
      <c r="Y1765" s="4"/>
      <c r="Z1765" s="4"/>
      <c r="AA1765" s="4"/>
      <c r="AB1765" s="5"/>
    </row>
    <row r="1766" spans="1:28" x14ac:dyDescent="0.35">
      <c r="A1766" s="3"/>
      <c r="B1766" s="4"/>
      <c r="C1766" s="4"/>
      <c r="D1766" s="4"/>
      <c r="E1766" s="4"/>
      <c r="F1766" s="4"/>
      <c r="G1766" s="4"/>
      <c r="H1766" s="4"/>
      <c r="I1766" s="4"/>
      <c r="J1766" s="4"/>
      <c r="K1766" s="4"/>
      <c r="L1766" s="4"/>
      <c r="M1766" s="4"/>
      <c r="N1766" s="4"/>
      <c r="O1766" s="4"/>
      <c r="P1766" s="4"/>
      <c r="Q1766" s="4"/>
      <c r="R1766" s="4"/>
      <c r="S1766" s="4"/>
      <c r="T1766" s="4"/>
      <c r="U1766" s="4"/>
      <c r="V1766" s="4"/>
      <c r="W1766" s="4"/>
      <c r="X1766" s="4"/>
      <c r="Y1766" s="4"/>
      <c r="Z1766" s="4"/>
      <c r="AA1766" s="4"/>
      <c r="AB1766" s="5"/>
    </row>
    <row r="1767" spans="1:28" x14ac:dyDescent="0.35">
      <c r="A1767" s="3"/>
      <c r="B1767" s="4"/>
      <c r="C1767" s="4"/>
      <c r="D1767" s="4"/>
      <c r="E1767" s="4"/>
      <c r="F1767" s="4"/>
      <c r="G1767" s="4"/>
      <c r="H1767" s="4"/>
      <c r="I1767" s="4"/>
      <c r="J1767" s="4"/>
      <c r="K1767" s="4"/>
      <c r="L1767" s="4"/>
      <c r="M1767" s="4"/>
      <c r="N1767" s="4"/>
      <c r="O1767" s="4"/>
      <c r="P1767" s="4"/>
      <c r="Q1767" s="4"/>
      <c r="R1767" s="4"/>
      <c r="S1767" s="4"/>
      <c r="T1767" s="4"/>
      <c r="U1767" s="4"/>
      <c r="V1767" s="4"/>
      <c r="W1767" s="4"/>
      <c r="X1767" s="4"/>
      <c r="Y1767" s="4"/>
      <c r="Z1767" s="4"/>
      <c r="AA1767" s="4"/>
      <c r="AB1767" s="5"/>
    </row>
    <row r="1768" spans="1:28" x14ac:dyDescent="0.35">
      <c r="A1768" s="3"/>
      <c r="B1768" s="4"/>
      <c r="C1768" s="4"/>
      <c r="D1768" s="4"/>
      <c r="E1768" s="4"/>
      <c r="F1768" s="4"/>
      <c r="G1768" s="4"/>
      <c r="H1768" s="4"/>
      <c r="I1768" s="4"/>
      <c r="J1768" s="4"/>
      <c r="K1768" s="4"/>
      <c r="L1768" s="4"/>
      <c r="M1768" s="4"/>
      <c r="N1768" s="4"/>
      <c r="O1768" s="4"/>
      <c r="P1768" s="4"/>
      <c r="Q1768" s="4"/>
      <c r="R1768" s="4"/>
      <c r="S1768" s="4"/>
      <c r="T1768" s="4"/>
      <c r="U1768" s="4"/>
      <c r="V1768" s="4"/>
      <c r="W1768" s="4"/>
      <c r="X1768" s="4"/>
      <c r="Y1768" s="4"/>
      <c r="Z1768" s="4"/>
      <c r="AA1768" s="4"/>
      <c r="AB1768" s="5"/>
    </row>
    <row r="1769" spans="1:28" x14ac:dyDescent="0.35">
      <c r="A1769" s="3"/>
      <c r="B1769" s="4"/>
      <c r="C1769" s="4"/>
      <c r="D1769" s="4"/>
      <c r="E1769" s="4"/>
      <c r="F1769" s="4"/>
      <c r="G1769" s="4"/>
      <c r="H1769" s="4"/>
      <c r="I1769" s="4"/>
      <c r="J1769" s="4"/>
      <c r="K1769" s="4"/>
      <c r="L1769" s="4"/>
      <c r="M1769" s="4"/>
      <c r="N1769" s="4"/>
      <c r="O1769" s="4"/>
      <c r="P1769" s="4"/>
      <c r="Q1769" s="4"/>
      <c r="R1769" s="4"/>
      <c r="S1769" s="4"/>
      <c r="T1769" s="4"/>
      <c r="U1769" s="4"/>
      <c r="V1769" s="4"/>
      <c r="W1769" s="4"/>
      <c r="X1769" s="4"/>
      <c r="Y1769" s="4"/>
      <c r="Z1769" s="4"/>
      <c r="AA1769" s="4"/>
      <c r="AB1769" s="5"/>
    </row>
    <row r="1770" spans="1:28" x14ac:dyDescent="0.35">
      <c r="A1770" s="3"/>
      <c r="B1770" s="4"/>
      <c r="C1770" s="4"/>
      <c r="D1770" s="4"/>
      <c r="E1770" s="4"/>
      <c r="F1770" s="4"/>
      <c r="G1770" s="4"/>
      <c r="H1770" s="4"/>
      <c r="I1770" s="4"/>
      <c r="J1770" s="4"/>
      <c r="K1770" s="4"/>
      <c r="L1770" s="4"/>
      <c r="M1770" s="4"/>
      <c r="N1770" s="4"/>
      <c r="O1770" s="4"/>
      <c r="P1770" s="4"/>
      <c r="Q1770" s="4"/>
      <c r="R1770" s="4"/>
      <c r="S1770" s="4"/>
      <c r="T1770" s="4"/>
      <c r="U1770" s="4"/>
      <c r="V1770" s="4"/>
      <c r="W1770" s="4"/>
      <c r="X1770" s="4"/>
      <c r="Y1770" s="4"/>
      <c r="Z1770" s="4"/>
      <c r="AA1770" s="4"/>
      <c r="AB1770" s="5"/>
    </row>
    <row r="1771" spans="1:28" x14ac:dyDescent="0.35">
      <c r="A1771" s="3"/>
      <c r="B1771" s="4"/>
      <c r="C1771" s="4"/>
      <c r="D1771" s="4"/>
      <c r="E1771" s="4"/>
      <c r="F1771" s="4"/>
      <c r="G1771" s="4"/>
      <c r="H1771" s="4"/>
      <c r="I1771" s="4"/>
      <c r="J1771" s="4"/>
      <c r="K1771" s="4"/>
      <c r="L1771" s="4"/>
      <c r="M1771" s="4"/>
      <c r="N1771" s="4"/>
      <c r="O1771" s="4"/>
      <c r="P1771" s="4"/>
      <c r="Q1771" s="4"/>
      <c r="R1771" s="4"/>
      <c r="S1771" s="4"/>
      <c r="T1771" s="4"/>
      <c r="U1771" s="4"/>
      <c r="V1771" s="4"/>
      <c r="W1771" s="4"/>
      <c r="X1771" s="4"/>
      <c r="Y1771" s="4"/>
      <c r="Z1771" s="4"/>
      <c r="AA1771" s="4"/>
      <c r="AB1771" s="5"/>
    </row>
    <row r="1772" spans="1:28" x14ac:dyDescent="0.35">
      <c r="A1772" s="3"/>
      <c r="B1772" s="4"/>
      <c r="C1772" s="4"/>
      <c r="D1772" s="4"/>
      <c r="E1772" s="4"/>
      <c r="F1772" s="4"/>
      <c r="G1772" s="4"/>
      <c r="H1772" s="4"/>
      <c r="I1772" s="4"/>
      <c r="J1772" s="4"/>
      <c r="K1772" s="4"/>
      <c r="L1772" s="4"/>
      <c r="M1772" s="4"/>
      <c r="N1772" s="4"/>
      <c r="O1772" s="4"/>
      <c r="P1772" s="4"/>
      <c r="Q1772" s="4"/>
      <c r="R1772" s="4"/>
      <c r="S1772" s="4"/>
      <c r="T1772" s="4"/>
      <c r="U1772" s="4"/>
      <c r="V1772" s="4"/>
      <c r="W1772" s="4"/>
      <c r="X1772" s="4"/>
      <c r="Y1772" s="4"/>
      <c r="Z1772" s="4"/>
      <c r="AA1772" s="4"/>
      <c r="AB1772" s="5"/>
    </row>
    <row r="1773" spans="1:28" x14ac:dyDescent="0.35">
      <c r="A1773" s="3"/>
      <c r="B1773" s="4"/>
      <c r="C1773" s="4"/>
      <c r="D1773" s="4"/>
      <c r="E1773" s="4"/>
      <c r="F1773" s="4"/>
      <c r="G1773" s="4"/>
      <c r="H1773" s="4"/>
      <c r="I1773" s="4"/>
      <c r="J1773" s="4"/>
      <c r="K1773" s="4"/>
      <c r="L1773" s="4"/>
      <c r="M1773" s="4"/>
      <c r="N1773" s="4"/>
      <c r="O1773" s="4"/>
      <c r="P1773" s="4"/>
      <c r="Q1773" s="4"/>
      <c r="R1773" s="4"/>
      <c r="S1773" s="4"/>
      <c r="T1773" s="4"/>
      <c r="U1773" s="4"/>
      <c r="V1773" s="4"/>
      <c r="W1773" s="4"/>
      <c r="X1773" s="4"/>
      <c r="Y1773" s="4"/>
      <c r="Z1773" s="4"/>
      <c r="AA1773" s="4"/>
      <c r="AB1773" s="5"/>
    </row>
    <row r="1774" spans="1:28" x14ac:dyDescent="0.35">
      <c r="A1774" s="3"/>
      <c r="B1774" s="4"/>
      <c r="C1774" s="4"/>
      <c r="D1774" s="4"/>
      <c r="E1774" s="4"/>
      <c r="F1774" s="4"/>
      <c r="G1774" s="4"/>
      <c r="H1774" s="4"/>
      <c r="I1774" s="4"/>
      <c r="J1774" s="4"/>
      <c r="K1774" s="4"/>
      <c r="L1774" s="4"/>
      <c r="M1774" s="4"/>
      <c r="N1774" s="4"/>
      <c r="O1774" s="4"/>
      <c r="P1774" s="4"/>
      <c r="Q1774" s="4"/>
      <c r="R1774" s="4"/>
      <c r="S1774" s="4"/>
      <c r="T1774" s="4"/>
      <c r="U1774" s="4"/>
      <c r="V1774" s="4"/>
      <c r="W1774" s="4"/>
      <c r="X1774" s="4"/>
      <c r="Y1774" s="4"/>
      <c r="Z1774" s="4"/>
      <c r="AA1774" s="4"/>
      <c r="AB1774" s="5"/>
    </row>
    <row r="1775" spans="1:28" x14ac:dyDescent="0.35">
      <c r="A1775" s="3"/>
      <c r="B1775" s="4"/>
      <c r="C1775" s="4"/>
      <c r="D1775" s="4"/>
      <c r="E1775" s="4"/>
      <c r="F1775" s="4"/>
      <c r="G1775" s="4"/>
      <c r="H1775" s="4"/>
      <c r="I1775" s="4"/>
      <c r="J1775" s="4"/>
      <c r="K1775" s="4"/>
      <c r="L1775" s="4"/>
      <c r="M1775" s="4"/>
      <c r="N1775" s="4"/>
      <c r="O1775" s="4"/>
      <c r="P1775" s="4"/>
      <c r="Q1775" s="4"/>
      <c r="R1775" s="4"/>
      <c r="S1775" s="4"/>
      <c r="T1775" s="4"/>
      <c r="U1775" s="4"/>
      <c r="V1775" s="4"/>
      <c r="W1775" s="4"/>
      <c r="X1775" s="4"/>
      <c r="Y1775" s="4"/>
      <c r="Z1775" s="4"/>
      <c r="AA1775" s="4"/>
      <c r="AB1775" s="5"/>
    </row>
    <row r="1776" spans="1:28" x14ac:dyDescent="0.35">
      <c r="A1776" s="3"/>
      <c r="B1776" s="4"/>
      <c r="C1776" s="4"/>
      <c r="D1776" s="4"/>
      <c r="E1776" s="4"/>
      <c r="F1776" s="4"/>
      <c r="G1776" s="4"/>
      <c r="H1776" s="4"/>
      <c r="I1776" s="4"/>
      <c r="J1776" s="4"/>
      <c r="K1776" s="4"/>
      <c r="L1776" s="4"/>
      <c r="M1776" s="4"/>
      <c r="N1776" s="4"/>
      <c r="O1776" s="4"/>
      <c r="P1776" s="4"/>
      <c r="Q1776" s="4"/>
      <c r="R1776" s="4"/>
      <c r="S1776" s="4"/>
      <c r="T1776" s="4"/>
      <c r="U1776" s="4"/>
      <c r="V1776" s="4"/>
      <c r="W1776" s="4"/>
      <c r="X1776" s="4"/>
      <c r="Y1776" s="4"/>
      <c r="Z1776" s="4"/>
      <c r="AA1776" s="4"/>
      <c r="AB1776" s="5"/>
    </row>
    <row r="1777" spans="1:28" x14ac:dyDescent="0.35">
      <c r="A1777" s="3"/>
      <c r="B1777" s="4"/>
      <c r="C1777" s="4"/>
      <c r="D1777" s="4"/>
      <c r="E1777" s="4"/>
      <c r="F1777" s="4"/>
      <c r="G1777" s="4"/>
      <c r="H1777" s="4"/>
      <c r="I1777" s="4"/>
      <c r="J1777" s="4"/>
      <c r="K1777" s="4"/>
      <c r="L1777" s="4"/>
      <c r="M1777" s="4"/>
      <c r="N1777" s="4"/>
      <c r="O1777" s="4"/>
      <c r="P1777" s="4"/>
      <c r="Q1777" s="4"/>
      <c r="R1777" s="4"/>
      <c r="S1777" s="4"/>
      <c r="T1777" s="4"/>
      <c r="U1777" s="4"/>
      <c r="V1777" s="4"/>
      <c r="W1777" s="4"/>
      <c r="X1777" s="4"/>
      <c r="Y1777" s="4"/>
      <c r="Z1777" s="4"/>
      <c r="AA1777" s="4"/>
      <c r="AB1777" s="5"/>
    </row>
    <row r="1778" spans="1:28" x14ac:dyDescent="0.35">
      <c r="A1778" s="3"/>
      <c r="B1778" s="4"/>
      <c r="C1778" s="4"/>
      <c r="D1778" s="4"/>
      <c r="E1778" s="4"/>
      <c r="F1778" s="4"/>
      <c r="G1778" s="4"/>
      <c r="H1778" s="4"/>
      <c r="I1778" s="4"/>
      <c r="J1778" s="4"/>
      <c r="K1778" s="4"/>
      <c r="L1778" s="4"/>
      <c r="M1778" s="4"/>
      <c r="N1778" s="4"/>
      <c r="O1778" s="4"/>
      <c r="P1778" s="4"/>
      <c r="Q1778" s="4"/>
      <c r="R1778" s="4"/>
      <c r="S1778" s="4"/>
      <c r="T1778" s="4"/>
      <c r="U1778" s="4"/>
      <c r="V1778" s="4"/>
      <c r="W1778" s="4"/>
      <c r="X1778" s="4"/>
      <c r="Y1778" s="4"/>
      <c r="Z1778" s="4"/>
      <c r="AA1778" s="4"/>
      <c r="AB1778" s="5"/>
    </row>
    <row r="1779" spans="1:28" x14ac:dyDescent="0.35">
      <c r="A1779" s="3"/>
      <c r="B1779" s="4"/>
      <c r="C1779" s="4"/>
      <c r="D1779" s="4"/>
      <c r="E1779" s="4"/>
      <c r="F1779" s="4"/>
      <c r="G1779" s="4"/>
      <c r="H1779" s="4"/>
      <c r="I1779" s="4"/>
      <c r="J1779" s="4"/>
      <c r="K1779" s="4"/>
      <c r="L1779" s="4"/>
      <c r="M1779" s="4"/>
      <c r="N1779" s="4"/>
      <c r="O1779" s="4"/>
      <c r="P1779" s="4"/>
      <c r="Q1779" s="4"/>
      <c r="R1779" s="4"/>
      <c r="S1779" s="4"/>
      <c r="T1779" s="4"/>
      <c r="U1779" s="4"/>
      <c r="V1779" s="4"/>
      <c r="W1779" s="4"/>
      <c r="X1779" s="4"/>
      <c r="Y1779" s="4"/>
      <c r="Z1779" s="4"/>
      <c r="AA1779" s="4"/>
      <c r="AB1779" s="5"/>
    </row>
    <row r="1780" spans="1:28" x14ac:dyDescent="0.35">
      <c r="A1780" s="3"/>
      <c r="B1780" s="4"/>
      <c r="C1780" s="4"/>
      <c r="D1780" s="4"/>
      <c r="E1780" s="4"/>
      <c r="F1780" s="4"/>
      <c r="G1780" s="4"/>
      <c r="H1780" s="4"/>
      <c r="I1780" s="4"/>
      <c r="J1780" s="4"/>
      <c r="K1780" s="4"/>
      <c r="L1780" s="4"/>
      <c r="M1780" s="4"/>
      <c r="N1780" s="4"/>
      <c r="O1780" s="4"/>
      <c r="P1780" s="4"/>
      <c r="Q1780" s="4"/>
      <c r="R1780" s="4"/>
      <c r="S1780" s="4"/>
      <c r="T1780" s="4"/>
      <c r="U1780" s="4"/>
      <c r="V1780" s="4"/>
      <c r="W1780" s="4"/>
      <c r="X1780" s="4"/>
      <c r="Y1780" s="4"/>
      <c r="Z1780" s="4"/>
      <c r="AA1780" s="4"/>
      <c r="AB1780" s="5"/>
    </row>
    <row r="1781" spans="1:28" x14ac:dyDescent="0.35">
      <c r="A1781" s="3"/>
      <c r="B1781" s="4"/>
      <c r="C1781" s="4"/>
      <c r="D1781" s="4"/>
      <c r="E1781" s="4"/>
      <c r="F1781" s="4"/>
      <c r="G1781" s="4"/>
      <c r="H1781" s="4"/>
      <c r="I1781" s="4"/>
      <c r="J1781" s="4"/>
      <c r="K1781" s="4"/>
      <c r="L1781" s="4"/>
      <c r="M1781" s="4"/>
      <c r="N1781" s="4"/>
      <c r="O1781" s="4"/>
      <c r="P1781" s="4"/>
      <c r="Q1781" s="4"/>
      <c r="R1781" s="4"/>
      <c r="S1781" s="4"/>
      <c r="T1781" s="4"/>
      <c r="U1781" s="4"/>
      <c r="V1781" s="4"/>
      <c r="W1781" s="4"/>
      <c r="X1781" s="4"/>
      <c r="Y1781" s="4"/>
      <c r="Z1781" s="4"/>
      <c r="AA1781" s="4"/>
      <c r="AB1781" s="5"/>
    </row>
    <row r="1782" spans="1:28" x14ac:dyDescent="0.35">
      <c r="A1782" s="3"/>
      <c r="B1782" s="4"/>
      <c r="C1782" s="4"/>
      <c r="D1782" s="4"/>
      <c r="E1782" s="4"/>
      <c r="F1782" s="4"/>
      <c r="G1782" s="4"/>
      <c r="H1782" s="4"/>
      <c r="I1782" s="4"/>
      <c r="J1782" s="4"/>
      <c r="K1782" s="4"/>
      <c r="L1782" s="4"/>
      <c r="M1782" s="4"/>
      <c r="N1782" s="4"/>
      <c r="O1782" s="4"/>
      <c r="P1782" s="4"/>
      <c r="Q1782" s="4"/>
      <c r="R1782" s="4"/>
      <c r="S1782" s="4"/>
      <c r="T1782" s="4"/>
      <c r="U1782" s="4"/>
      <c r="V1782" s="4"/>
      <c r="W1782" s="4"/>
      <c r="X1782" s="4"/>
      <c r="Y1782" s="4"/>
      <c r="Z1782" s="4"/>
      <c r="AA1782" s="4"/>
      <c r="AB1782" s="5"/>
    </row>
    <row r="1783" spans="1:28" x14ac:dyDescent="0.35">
      <c r="A1783" s="3"/>
      <c r="B1783" s="4"/>
      <c r="C1783" s="4"/>
      <c r="D1783" s="4"/>
      <c r="E1783" s="4"/>
      <c r="F1783" s="4"/>
      <c r="G1783" s="4"/>
      <c r="H1783" s="4"/>
      <c r="I1783" s="4"/>
      <c r="J1783" s="4"/>
      <c r="K1783" s="4"/>
      <c r="L1783" s="4"/>
      <c r="M1783" s="4"/>
      <c r="N1783" s="4"/>
      <c r="O1783" s="4"/>
      <c r="P1783" s="4"/>
      <c r="Q1783" s="4"/>
      <c r="R1783" s="4"/>
      <c r="S1783" s="4"/>
      <c r="T1783" s="4"/>
      <c r="U1783" s="4"/>
      <c r="V1783" s="4"/>
      <c r="W1783" s="4"/>
      <c r="X1783" s="4"/>
      <c r="Y1783" s="4"/>
      <c r="Z1783" s="4"/>
      <c r="AA1783" s="4"/>
      <c r="AB1783" s="5"/>
    </row>
    <row r="1784" spans="1:28" x14ac:dyDescent="0.35">
      <c r="A1784" s="3"/>
      <c r="B1784" s="4"/>
      <c r="C1784" s="4"/>
      <c r="D1784" s="4"/>
      <c r="E1784" s="4"/>
      <c r="F1784" s="4"/>
      <c r="G1784" s="4"/>
      <c r="H1784" s="4"/>
      <c r="I1784" s="4"/>
      <c r="J1784" s="4"/>
      <c r="K1784" s="4"/>
      <c r="L1784" s="4"/>
      <c r="M1784" s="4"/>
      <c r="N1784" s="4"/>
      <c r="O1784" s="4"/>
      <c r="P1784" s="4"/>
      <c r="Q1784" s="4"/>
      <c r="R1784" s="4"/>
      <c r="S1784" s="4"/>
      <c r="T1784" s="4"/>
      <c r="U1784" s="4"/>
      <c r="V1784" s="4"/>
      <c r="W1784" s="4"/>
      <c r="X1784" s="4"/>
      <c r="Y1784" s="4"/>
      <c r="Z1784" s="4"/>
      <c r="AA1784" s="4"/>
      <c r="AB1784" s="5"/>
    </row>
    <row r="1785" spans="1:28" x14ac:dyDescent="0.35">
      <c r="A1785" s="3"/>
      <c r="B1785" s="4"/>
      <c r="C1785" s="4"/>
      <c r="D1785" s="4"/>
      <c r="E1785" s="4"/>
      <c r="F1785" s="4"/>
      <c r="G1785" s="4"/>
      <c r="H1785" s="4"/>
      <c r="I1785" s="4"/>
      <c r="J1785" s="4"/>
      <c r="K1785" s="4"/>
      <c r="L1785" s="4"/>
      <c r="M1785" s="4"/>
      <c r="N1785" s="4"/>
      <c r="O1785" s="4"/>
      <c r="P1785" s="4"/>
      <c r="Q1785" s="4"/>
      <c r="R1785" s="4"/>
      <c r="S1785" s="4"/>
      <c r="T1785" s="4"/>
      <c r="U1785" s="4"/>
      <c r="V1785" s="4"/>
      <c r="W1785" s="4"/>
      <c r="X1785" s="4"/>
      <c r="Y1785" s="4"/>
      <c r="Z1785" s="4"/>
      <c r="AA1785" s="4"/>
      <c r="AB1785" s="5"/>
    </row>
    <row r="1786" spans="1:28" x14ac:dyDescent="0.35">
      <c r="A1786" s="3"/>
      <c r="B1786" s="4"/>
      <c r="C1786" s="4"/>
      <c r="D1786" s="4"/>
      <c r="E1786" s="4"/>
      <c r="F1786" s="4"/>
      <c r="G1786" s="4"/>
      <c r="H1786" s="4"/>
      <c r="I1786" s="4"/>
      <c r="J1786" s="4"/>
      <c r="K1786" s="4"/>
      <c r="L1786" s="4"/>
      <c r="M1786" s="4"/>
      <c r="N1786" s="4"/>
      <c r="O1786" s="4"/>
      <c r="P1786" s="4"/>
      <c r="Q1786" s="4"/>
      <c r="R1786" s="4"/>
      <c r="S1786" s="4"/>
      <c r="T1786" s="4"/>
      <c r="U1786" s="4"/>
      <c r="V1786" s="4"/>
      <c r="W1786" s="4"/>
      <c r="X1786" s="4"/>
      <c r="Y1786" s="4"/>
      <c r="Z1786" s="4"/>
      <c r="AA1786" s="4"/>
      <c r="AB1786" s="5"/>
    </row>
    <row r="1787" spans="1:28" x14ac:dyDescent="0.35">
      <c r="A1787" s="3"/>
      <c r="B1787" s="4"/>
      <c r="C1787" s="4"/>
      <c r="D1787" s="4"/>
      <c r="E1787" s="4"/>
      <c r="F1787" s="4"/>
      <c r="G1787" s="4"/>
      <c r="H1787" s="4"/>
      <c r="I1787" s="4"/>
      <c r="J1787" s="4"/>
      <c r="K1787" s="4"/>
      <c r="L1787" s="4"/>
      <c r="M1787" s="4"/>
      <c r="N1787" s="4"/>
      <c r="O1787" s="4"/>
      <c r="P1787" s="4"/>
      <c r="Q1787" s="4"/>
      <c r="R1787" s="4"/>
      <c r="S1787" s="4"/>
      <c r="T1787" s="4"/>
      <c r="U1787" s="4"/>
      <c r="V1787" s="4"/>
      <c r="W1787" s="4"/>
      <c r="X1787" s="4"/>
      <c r="Y1787" s="4"/>
      <c r="Z1787" s="4"/>
      <c r="AA1787" s="4"/>
      <c r="AB1787" s="5"/>
    </row>
    <row r="1788" spans="1:28" x14ac:dyDescent="0.35">
      <c r="A1788" s="3"/>
      <c r="B1788" s="4"/>
      <c r="C1788" s="4"/>
      <c r="D1788" s="4"/>
      <c r="E1788" s="4"/>
      <c r="F1788" s="4"/>
      <c r="G1788" s="4"/>
      <c r="H1788" s="4"/>
      <c r="I1788" s="4"/>
      <c r="J1788" s="4"/>
      <c r="K1788" s="4"/>
      <c r="L1788" s="4"/>
      <c r="M1788" s="4"/>
      <c r="N1788" s="4"/>
      <c r="O1788" s="4"/>
      <c r="P1788" s="4"/>
      <c r="Q1788" s="4"/>
      <c r="R1788" s="4"/>
      <c r="S1788" s="4"/>
      <c r="T1788" s="4"/>
      <c r="U1788" s="4"/>
      <c r="V1788" s="4"/>
      <c r="W1788" s="4"/>
      <c r="X1788" s="4"/>
      <c r="Y1788" s="4"/>
      <c r="Z1788" s="4"/>
      <c r="AA1788" s="4"/>
      <c r="AB1788" s="5"/>
    </row>
    <row r="1789" spans="1:28" x14ac:dyDescent="0.35">
      <c r="A1789" s="3"/>
      <c r="B1789" s="4"/>
      <c r="C1789" s="4"/>
      <c r="D1789" s="4"/>
      <c r="E1789" s="4"/>
      <c r="F1789" s="4"/>
      <c r="G1789" s="4"/>
      <c r="H1789" s="4"/>
      <c r="I1789" s="4"/>
      <c r="J1789" s="4"/>
      <c r="K1789" s="4"/>
      <c r="L1789" s="4"/>
      <c r="M1789" s="4"/>
      <c r="N1789" s="4"/>
      <c r="O1789" s="4"/>
      <c r="P1789" s="4"/>
      <c r="Q1789" s="4"/>
      <c r="R1789" s="4"/>
      <c r="S1789" s="4"/>
      <c r="T1789" s="4"/>
      <c r="U1789" s="4"/>
      <c r="V1789" s="4"/>
      <c r="W1789" s="4"/>
      <c r="X1789" s="4"/>
      <c r="Y1789" s="4"/>
      <c r="Z1789" s="4"/>
      <c r="AA1789" s="4"/>
      <c r="AB1789" s="5"/>
    </row>
    <row r="1790" spans="1:28" x14ac:dyDescent="0.35">
      <c r="A1790" s="3"/>
      <c r="B1790" s="4"/>
      <c r="C1790" s="4"/>
      <c r="D1790" s="4"/>
      <c r="E1790" s="4"/>
      <c r="F1790" s="4"/>
      <c r="G1790" s="4"/>
      <c r="H1790" s="4"/>
      <c r="I1790" s="4"/>
      <c r="J1790" s="4"/>
      <c r="K1790" s="4"/>
      <c r="L1790" s="4"/>
      <c r="M1790" s="4"/>
      <c r="N1790" s="4"/>
      <c r="O1790" s="4"/>
      <c r="P1790" s="4"/>
      <c r="Q1790" s="4"/>
      <c r="R1790" s="4"/>
      <c r="S1790" s="4"/>
      <c r="T1790" s="4"/>
      <c r="U1790" s="4"/>
      <c r="V1790" s="4"/>
      <c r="W1790" s="4"/>
      <c r="X1790" s="4"/>
      <c r="Y1790" s="4"/>
      <c r="Z1790" s="4"/>
      <c r="AA1790" s="4"/>
      <c r="AB1790" s="5"/>
    </row>
    <row r="1791" spans="1:28" x14ac:dyDescent="0.35">
      <c r="A1791" s="3"/>
      <c r="B1791" s="4"/>
      <c r="C1791" s="4"/>
      <c r="D1791" s="4"/>
      <c r="E1791" s="4"/>
      <c r="F1791" s="4"/>
      <c r="G1791" s="4"/>
      <c r="H1791" s="4"/>
      <c r="I1791" s="4"/>
      <c r="J1791" s="4"/>
      <c r="K1791" s="4"/>
      <c r="L1791" s="4"/>
      <c r="M1791" s="4"/>
      <c r="N1791" s="4"/>
      <c r="O1791" s="4"/>
      <c r="P1791" s="4"/>
      <c r="Q1791" s="4"/>
      <c r="R1791" s="4"/>
      <c r="S1791" s="4"/>
      <c r="T1791" s="4"/>
      <c r="U1791" s="4"/>
      <c r="V1791" s="4"/>
      <c r="W1791" s="4"/>
      <c r="X1791" s="4"/>
      <c r="Y1791" s="4"/>
      <c r="Z1791" s="4"/>
      <c r="AA1791" s="4"/>
      <c r="AB1791" s="5"/>
    </row>
    <row r="1792" spans="1:28" x14ac:dyDescent="0.35">
      <c r="A1792" s="3"/>
      <c r="B1792" s="4"/>
      <c r="C1792" s="4"/>
      <c r="D1792" s="4"/>
      <c r="E1792" s="4"/>
      <c r="F1792" s="4"/>
      <c r="G1792" s="4"/>
      <c r="H1792" s="4"/>
      <c r="I1792" s="4"/>
      <c r="J1792" s="4"/>
      <c r="K1792" s="4"/>
      <c r="L1792" s="4"/>
      <c r="M1792" s="4"/>
      <c r="N1792" s="4"/>
      <c r="O1792" s="4"/>
      <c r="P1792" s="4"/>
      <c r="Q1792" s="4"/>
      <c r="R1792" s="4"/>
      <c r="S1792" s="4"/>
      <c r="T1792" s="4"/>
      <c r="U1792" s="4"/>
      <c r="V1792" s="4"/>
      <c r="W1792" s="4"/>
      <c r="X1792" s="4"/>
      <c r="Y1792" s="4"/>
      <c r="Z1792" s="4"/>
      <c r="AA1792" s="4"/>
      <c r="AB1792" s="5"/>
    </row>
    <row r="1793" spans="1:28" x14ac:dyDescent="0.35">
      <c r="A1793" s="3"/>
      <c r="B1793" s="4"/>
      <c r="C1793" s="4"/>
      <c r="D1793" s="4"/>
      <c r="E1793" s="4"/>
      <c r="F1793" s="4"/>
      <c r="G1793" s="4"/>
      <c r="H1793" s="4"/>
      <c r="I1793" s="4"/>
      <c r="J1793" s="4"/>
      <c r="K1793" s="4"/>
      <c r="L1793" s="4"/>
      <c r="M1793" s="4"/>
      <c r="N1793" s="4"/>
      <c r="O1793" s="4"/>
      <c r="P1793" s="4"/>
      <c r="Q1793" s="4"/>
      <c r="R1793" s="4"/>
      <c r="S1793" s="4"/>
      <c r="T1793" s="4"/>
      <c r="U1793" s="4"/>
      <c r="V1793" s="4"/>
      <c r="W1793" s="4"/>
      <c r="X1793" s="4"/>
      <c r="Y1793" s="4"/>
      <c r="Z1793" s="4"/>
      <c r="AA1793" s="4"/>
      <c r="AB1793" s="5"/>
    </row>
    <row r="1794" spans="1:28" x14ac:dyDescent="0.35">
      <c r="A1794" s="3"/>
      <c r="B1794" s="4"/>
      <c r="C1794" s="4"/>
      <c r="D1794" s="4"/>
      <c r="E1794" s="4"/>
      <c r="F1794" s="4"/>
      <c r="G1794" s="4"/>
      <c r="H1794" s="4"/>
      <c r="I1794" s="4"/>
      <c r="J1794" s="4"/>
      <c r="K1794" s="4"/>
      <c r="L1794" s="4"/>
      <c r="M1794" s="4"/>
      <c r="N1794" s="4"/>
      <c r="O1794" s="4"/>
      <c r="P1794" s="4"/>
      <c r="Q1794" s="4"/>
      <c r="R1794" s="4"/>
      <c r="S1794" s="4"/>
      <c r="T1794" s="4"/>
      <c r="U1794" s="4"/>
      <c r="V1794" s="4"/>
      <c r="W1794" s="4"/>
      <c r="X1794" s="4"/>
      <c r="Y1794" s="4"/>
      <c r="Z1794" s="4"/>
      <c r="AA1794" s="4"/>
      <c r="AB1794" s="5"/>
    </row>
    <row r="1795" spans="1:28" x14ac:dyDescent="0.35">
      <c r="A1795" s="3"/>
      <c r="B1795" s="4"/>
      <c r="C1795" s="4"/>
      <c r="D1795" s="4"/>
      <c r="E1795" s="4"/>
      <c r="F1795" s="4"/>
      <c r="G1795" s="4"/>
      <c r="H1795" s="4"/>
      <c r="I1795" s="4"/>
      <c r="J1795" s="4"/>
      <c r="K1795" s="4"/>
      <c r="L1795" s="4"/>
      <c r="M1795" s="4"/>
      <c r="N1795" s="4"/>
      <c r="O1795" s="4"/>
      <c r="P1795" s="4"/>
      <c r="Q1795" s="4"/>
      <c r="R1795" s="4"/>
      <c r="S1795" s="4"/>
      <c r="T1795" s="4"/>
      <c r="U1795" s="4"/>
      <c r="V1795" s="4"/>
      <c r="W1795" s="4"/>
      <c r="X1795" s="4"/>
      <c r="Y1795" s="4"/>
      <c r="Z1795" s="4"/>
      <c r="AA1795" s="4"/>
      <c r="AB1795" s="5"/>
    </row>
    <row r="1796" spans="1:28" x14ac:dyDescent="0.35">
      <c r="A1796" s="3"/>
      <c r="B1796" s="4"/>
      <c r="C1796" s="4"/>
      <c r="D1796" s="4"/>
      <c r="E1796" s="4"/>
      <c r="F1796" s="4"/>
      <c r="G1796" s="4"/>
      <c r="H1796" s="4"/>
      <c r="I1796" s="4"/>
      <c r="J1796" s="4"/>
      <c r="K1796" s="4"/>
      <c r="L1796" s="4"/>
      <c r="M1796" s="4"/>
      <c r="N1796" s="4"/>
      <c r="O1796" s="4"/>
      <c r="P1796" s="4"/>
      <c r="Q1796" s="4"/>
      <c r="R1796" s="4"/>
      <c r="S1796" s="4"/>
      <c r="T1796" s="4"/>
      <c r="U1796" s="4"/>
      <c r="V1796" s="4"/>
      <c r="W1796" s="4"/>
      <c r="X1796" s="4"/>
      <c r="Y1796" s="4"/>
      <c r="Z1796" s="4"/>
      <c r="AA1796" s="4"/>
      <c r="AB1796" s="5"/>
    </row>
    <row r="1797" spans="1:28" x14ac:dyDescent="0.35">
      <c r="A1797" s="3"/>
      <c r="B1797" s="4"/>
      <c r="C1797" s="4"/>
      <c r="D1797" s="4"/>
      <c r="E1797" s="4"/>
      <c r="F1797" s="4"/>
      <c r="G1797" s="4"/>
      <c r="H1797" s="4"/>
      <c r="I1797" s="4"/>
      <c r="J1797" s="4"/>
      <c r="K1797" s="4"/>
      <c r="L1797" s="4"/>
      <c r="M1797" s="4"/>
      <c r="N1797" s="4"/>
      <c r="O1797" s="4"/>
      <c r="P1797" s="4"/>
      <c r="Q1797" s="4"/>
      <c r="R1797" s="4"/>
      <c r="S1797" s="4"/>
      <c r="T1797" s="4"/>
      <c r="U1797" s="4"/>
      <c r="V1797" s="4"/>
      <c r="W1797" s="4"/>
      <c r="X1797" s="4"/>
      <c r="Y1797" s="4"/>
      <c r="Z1797" s="4"/>
      <c r="AA1797" s="4"/>
      <c r="AB1797" s="5"/>
    </row>
    <row r="1798" spans="1:28" x14ac:dyDescent="0.35">
      <c r="A1798" s="3"/>
      <c r="B1798" s="4"/>
      <c r="C1798" s="4"/>
      <c r="D1798" s="4"/>
      <c r="E1798" s="4"/>
      <c r="F1798" s="4"/>
      <c r="G1798" s="4"/>
      <c r="H1798" s="4"/>
      <c r="I1798" s="4"/>
      <c r="J1798" s="4"/>
      <c r="K1798" s="4"/>
      <c r="L1798" s="4"/>
      <c r="M1798" s="4"/>
      <c r="N1798" s="4"/>
      <c r="O1798" s="4"/>
      <c r="P1798" s="4"/>
      <c r="Q1798" s="4"/>
      <c r="R1798" s="4"/>
      <c r="S1798" s="4"/>
      <c r="T1798" s="4"/>
      <c r="U1798" s="4"/>
      <c r="V1798" s="4"/>
      <c r="W1798" s="4"/>
      <c r="X1798" s="4"/>
      <c r="Y1798" s="4"/>
      <c r="Z1798" s="4"/>
      <c r="AA1798" s="4"/>
      <c r="AB1798" s="5"/>
    </row>
    <row r="1799" spans="1:28" x14ac:dyDescent="0.35">
      <c r="A1799" s="3"/>
      <c r="B1799" s="4"/>
      <c r="C1799" s="4"/>
      <c r="D1799" s="4"/>
      <c r="E1799" s="4"/>
      <c r="F1799" s="4"/>
      <c r="G1799" s="4"/>
      <c r="H1799" s="4"/>
      <c r="I1799" s="4"/>
      <c r="J1799" s="4"/>
      <c r="K1799" s="4"/>
      <c r="L1799" s="4"/>
      <c r="M1799" s="4"/>
      <c r="N1799" s="4"/>
      <c r="O1799" s="4"/>
      <c r="P1799" s="4"/>
      <c r="Q1799" s="4"/>
      <c r="R1799" s="4"/>
      <c r="S1799" s="4"/>
      <c r="T1799" s="4"/>
      <c r="U1799" s="4"/>
      <c r="V1799" s="4"/>
      <c r="W1799" s="4"/>
      <c r="X1799" s="4"/>
      <c r="Y1799" s="4"/>
      <c r="Z1799" s="4"/>
      <c r="AA1799" s="4"/>
      <c r="AB1799" s="5"/>
    </row>
    <row r="1800" spans="1:28" x14ac:dyDescent="0.35">
      <c r="A1800" s="3"/>
      <c r="B1800" s="4"/>
      <c r="C1800" s="4"/>
      <c r="D1800" s="4"/>
      <c r="E1800" s="4"/>
      <c r="F1800" s="4"/>
      <c r="G1800" s="4"/>
      <c r="H1800" s="4"/>
      <c r="I1800" s="4"/>
      <c r="J1800" s="4"/>
      <c r="K1800" s="4"/>
      <c r="L1800" s="4"/>
      <c r="M1800" s="4"/>
      <c r="N1800" s="4"/>
      <c r="O1800" s="4"/>
      <c r="P1800" s="4"/>
      <c r="Q1800" s="4"/>
      <c r="R1800" s="4"/>
      <c r="S1800" s="4"/>
      <c r="T1800" s="4"/>
      <c r="U1800" s="4"/>
      <c r="V1800" s="4"/>
      <c r="W1800" s="4"/>
      <c r="X1800" s="4"/>
      <c r="Y1800" s="4"/>
      <c r="Z1800" s="4"/>
      <c r="AA1800" s="4"/>
      <c r="AB1800" s="5"/>
    </row>
    <row r="1801" spans="1:28" x14ac:dyDescent="0.35">
      <c r="A1801" s="3"/>
      <c r="B1801" s="4"/>
      <c r="C1801" s="4"/>
      <c r="D1801" s="4"/>
      <c r="E1801" s="4"/>
      <c r="F1801" s="4"/>
      <c r="G1801" s="4"/>
      <c r="H1801" s="4"/>
      <c r="I1801" s="4"/>
      <c r="J1801" s="4"/>
      <c r="K1801" s="4"/>
      <c r="L1801" s="4"/>
      <c r="M1801" s="4"/>
      <c r="N1801" s="4"/>
      <c r="O1801" s="4"/>
      <c r="P1801" s="4"/>
      <c r="Q1801" s="4"/>
      <c r="R1801" s="4"/>
      <c r="S1801" s="4"/>
      <c r="T1801" s="4"/>
      <c r="U1801" s="4"/>
      <c r="V1801" s="4"/>
      <c r="W1801" s="4"/>
      <c r="X1801" s="4"/>
      <c r="Y1801" s="4"/>
      <c r="Z1801" s="4"/>
      <c r="AA1801" s="4"/>
      <c r="AB1801" s="5"/>
    </row>
    <row r="1802" spans="1:28" x14ac:dyDescent="0.35">
      <c r="A1802" s="3"/>
      <c r="B1802" s="4"/>
      <c r="C1802" s="4"/>
      <c r="D1802" s="4"/>
      <c r="E1802" s="4"/>
      <c r="F1802" s="4"/>
      <c r="G1802" s="4"/>
      <c r="H1802" s="4"/>
      <c r="I1802" s="4"/>
      <c r="J1802" s="4"/>
      <c r="K1802" s="4"/>
      <c r="L1802" s="4"/>
      <c r="M1802" s="4"/>
      <c r="N1802" s="4"/>
      <c r="O1802" s="4"/>
      <c r="P1802" s="4"/>
      <c r="Q1802" s="4"/>
      <c r="R1802" s="4"/>
      <c r="S1802" s="4"/>
      <c r="T1802" s="4"/>
      <c r="U1802" s="4"/>
      <c r="V1802" s="4"/>
      <c r="W1802" s="4"/>
      <c r="X1802" s="4"/>
      <c r="Y1802" s="4"/>
      <c r="Z1802" s="4"/>
      <c r="AA1802" s="4"/>
      <c r="AB1802" s="5"/>
    </row>
    <row r="1803" spans="1:28" x14ac:dyDescent="0.35">
      <c r="A1803" s="3"/>
      <c r="B1803" s="4"/>
      <c r="C1803" s="4"/>
      <c r="D1803" s="4"/>
      <c r="E1803" s="4"/>
      <c r="F1803" s="4"/>
      <c r="G1803" s="4"/>
      <c r="H1803" s="4"/>
      <c r="I1803" s="4"/>
      <c r="J1803" s="4"/>
      <c r="K1803" s="4"/>
      <c r="L1803" s="4"/>
      <c r="M1803" s="4"/>
      <c r="N1803" s="4"/>
      <c r="O1803" s="4"/>
      <c r="P1803" s="4"/>
      <c r="Q1803" s="4"/>
      <c r="R1803" s="4"/>
      <c r="S1803" s="4"/>
      <c r="T1803" s="4"/>
      <c r="U1803" s="4"/>
      <c r="V1803" s="4"/>
      <c r="W1803" s="4"/>
      <c r="X1803" s="4"/>
      <c r="Y1803" s="4"/>
      <c r="Z1803" s="4"/>
      <c r="AA1803" s="4"/>
      <c r="AB1803" s="5"/>
    </row>
    <row r="1804" spans="1:28" x14ac:dyDescent="0.35">
      <c r="A1804" s="3"/>
      <c r="B1804" s="4"/>
      <c r="C1804" s="4"/>
      <c r="D1804" s="4"/>
      <c r="E1804" s="4"/>
      <c r="F1804" s="4"/>
      <c r="G1804" s="4"/>
      <c r="H1804" s="4"/>
      <c r="I1804" s="4"/>
      <c r="J1804" s="4"/>
      <c r="K1804" s="4"/>
      <c r="L1804" s="4"/>
      <c r="M1804" s="4"/>
      <c r="N1804" s="4"/>
      <c r="O1804" s="4"/>
      <c r="P1804" s="4"/>
      <c r="Q1804" s="4"/>
      <c r="R1804" s="4"/>
      <c r="S1804" s="4"/>
      <c r="T1804" s="4"/>
      <c r="U1804" s="4"/>
      <c r="V1804" s="4"/>
      <c r="W1804" s="4"/>
      <c r="X1804" s="4"/>
      <c r="Y1804" s="4"/>
      <c r="Z1804" s="4"/>
      <c r="AA1804" s="4"/>
      <c r="AB1804" s="5"/>
    </row>
    <row r="1805" spans="1:28" x14ac:dyDescent="0.35">
      <c r="A1805" s="3"/>
      <c r="B1805" s="4"/>
      <c r="C1805" s="4"/>
      <c r="D1805" s="4"/>
      <c r="E1805" s="4"/>
      <c r="F1805" s="4"/>
      <c r="G1805" s="4"/>
      <c r="H1805" s="4"/>
      <c r="I1805" s="4"/>
      <c r="J1805" s="4"/>
      <c r="K1805" s="4"/>
      <c r="L1805" s="4"/>
      <c r="M1805" s="4"/>
      <c r="N1805" s="4"/>
      <c r="O1805" s="4"/>
      <c r="P1805" s="4"/>
      <c r="Q1805" s="4"/>
      <c r="R1805" s="4"/>
      <c r="S1805" s="4"/>
      <c r="T1805" s="4"/>
      <c r="U1805" s="4"/>
      <c r="V1805" s="4"/>
      <c r="W1805" s="4"/>
      <c r="X1805" s="4"/>
      <c r="Y1805" s="4"/>
      <c r="Z1805" s="4"/>
      <c r="AA1805" s="4"/>
      <c r="AB1805" s="5"/>
    </row>
    <row r="1806" spans="1:28" x14ac:dyDescent="0.35">
      <c r="A1806" s="3"/>
      <c r="B1806" s="4"/>
      <c r="C1806" s="4"/>
      <c r="D1806" s="4"/>
      <c r="E1806" s="4"/>
      <c r="F1806" s="4"/>
      <c r="G1806" s="4"/>
      <c r="H1806" s="4"/>
      <c r="I1806" s="4"/>
      <c r="J1806" s="4"/>
      <c r="K1806" s="4"/>
      <c r="L1806" s="4"/>
      <c r="M1806" s="4"/>
      <c r="N1806" s="4"/>
      <c r="O1806" s="4"/>
      <c r="P1806" s="4"/>
      <c r="Q1806" s="4"/>
      <c r="R1806" s="4"/>
      <c r="S1806" s="4"/>
      <c r="T1806" s="4"/>
      <c r="U1806" s="4"/>
      <c r="V1806" s="4"/>
      <c r="W1806" s="4"/>
      <c r="X1806" s="4"/>
      <c r="Y1806" s="4"/>
      <c r="Z1806" s="4"/>
      <c r="AA1806" s="4"/>
      <c r="AB1806" s="5"/>
    </row>
    <row r="1807" spans="1:28" x14ac:dyDescent="0.35">
      <c r="A1807" s="3"/>
      <c r="B1807" s="4"/>
      <c r="C1807" s="4"/>
      <c r="D1807" s="4"/>
      <c r="E1807" s="4"/>
      <c r="F1807" s="4"/>
      <c r="G1807" s="4"/>
      <c r="H1807" s="4"/>
      <c r="I1807" s="4"/>
      <c r="J1807" s="4"/>
      <c r="K1807" s="4"/>
      <c r="L1807" s="4"/>
      <c r="M1807" s="4"/>
      <c r="N1807" s="4"/>
      <c r="O1807" s="4"/>
      <c r="P1807" s="4"/>
      <c r="Q1807" s="4"/>
      <c r="R1807" s="4"/>
      <c r="S1807" s="4"/>
      <c r="T1807" s="4"/>
      <c r="U1807" s="4"/>
      <c r="V1807" s="4"/>
      <c r="W1807" s="4"/>
      <c r="X1807" s="4"/>
      <c r="Y1807" s="4"/>
      <c r="Z1807" s="4"/>
      <c r="AA1807" s="4"/>
      <c r="AB1807" s="5"/>
    </row>
    <row r="1808" spans="1:28" x14ac:dyDescent="0.35">
      <c r="A1808" s="3"/>
      <c r="B1808" s="4"/>
      <c r="C1808" s="4"/>
      <c r="D1808" s="4"/>
      <c r="E1808" s="4"/>
      <c r="F1808" s="4"/>
      <c r="G1808" s="4"/>
      <c r="H1808" s="4"/>
      <c r="I1808" s="4"/>
      <c r="J1808" s="4"/>
      <c r="K1808" s="4"/>
      <c r="L1808" s="4"/>
      <c r="M1808" s="4"/>
      <c r="N1808" s="4"/>
      <c r="O1808" s="4"/>
      <c r="P1808" s="4"/>
      <c r="Q1808" s="4"/>
      <c r="R1808" s="4"/>
      <c r="S1808" s="4"/>
      <c r="T1808" s="4"/>
      <c r="U1808" s="4"/>
      <c r="V1808" s="4"/>
      <c r="W1808" s="4"/>
      <c r="X1808" s="4"/>
      <c r="Y1808" s="4"/>
      <c r="Z1808" s="4"/>
      <c r="AA1808" s="4"/>
      <c r="AB1808" s="5"/>
    </row>
    <row r="1809" spans="1:28" x14ac:dyDescent="0.35">
      <c r="A1809" s="3"/>
      <c r="B1809" s="4"/>
      <c r="C1809" s="4"/>
      <c r="D1809" s="4"/>
      <c r="E1809" s="4"/>
      <c r="F1809" s="4"/>
      <c r="G1809" s="4"/>
      <c r="H1809" s="4"/>
      <c r="I1809" s="4"/>
      <c r="J1809" s="4"/>
      <c r="K1809" s="4"/>
      <c r="L1809" s="4"/>
      <c r="M1809" s="4"/>
      <c r="N1809" s="4"/>
      <c r="O1809" s="4"/>
      <c r="P1809" s="4"/>
      <c r="Q1809" s="4"/>
      <c r="R1809" s="4"/>
      <c r="S1809" s="4"/>
      <c r="T1809" s="4"/>
      <c r="U1809" s="4"/>
      <c r="V1809" s="4"/>
      <c r="W1809" s="4"/>
      <c r="X1809" s="4"/>
      <c r="Y1809" s="4"/>
      <c r="Z1809" s="4"/>
      <c r="AA1809" s="4"/>
      <c r="AB1809" s="5"/>
    </row>
    <row r="1810" spans="1:28" x14ac:dyDescent="0.35">
      <c r="A1810" s="3"/>
      <c r="B1810" s="4"/>
      <c r="C1810" s="4"/>
      <c r="D1810" s="4"/>
      <c r="E1810" s="4"/>
      <c r="F1810" s="4"/>
      <c r="G1810" s="4"/>
      <c r="H1810" s="4"/>
      <c r="I1810" s="4"/>
      <c r="J1810" s="4"/>
      <c r="K1810" s="4"/>
      <c r="L1810" s="4"/>
      <c r="M1810" s="4"/>
      <c r="N1810" s="4"/>
      <c r="O1810" s="4"/>
      <c r="P1810" s="4"/>
      <c r="Q1810" s="4"/>
      <c r="R1810" s="4"/>
      <c r="S1810" s="4"/>
      <c r="T1810" s="4"/>
      <c r="U1810" s="4"/>
      <c r="V1810" s="4"/>
      <c r="W1810" s="4"/>
      <c r="X1810" s="4"/>
      <c r="Y1810" s="4"/>
      <c r="Z1810" s="4"/>
      <c r="AA1810" s="4"/>
      <c r="AB1810" s="5"/>
    </row>
    <row r="1811" spans="1:28" x14ac:dyDescent="0.35">
      <c r="A1811" s="3"/>
      <c r="B1811" s="4"/>
      <c r="C1811" s="4"/>
      <c r="D1811" s="4"/>
      <c r="E1811" s="4"/>
      <c r="F1811" s="4"/>
      <c r="G1811" s="4"/>
      <c r="H1811" s="4"/>
      <c r="I1811" s="4"/>
      <c r="J1811" s="4"/>
      <c r="K1811" s="4"/>
      <c r="L1811" s="4"/>
      <c r="M1811" s="4"/>
      <c r="N1811" s="4"/>
      <c r="O1811" s="4"/>
      <c r="P1811" s="4"/>
      <c r="Q1811" s="4"/>
      <c r="R1811" s="4"/>
      <c r="S1811" s="4"/>
      <c r="T1811" s="4"/>
      <c r="U1811" s="4"/>
      <c r="V1811" s="4"/>
      <c r="W1811" s="4"/>
      <c r="X1811" s="4"/>
      <c r="Y1811" s="4"/>
      <c r="Z1811" s="4"/>
      <c r="AA1811" s="4"/>
      <c r="AB1811" s="5"/>
    </row>
    <row r="1812" spans="1:28" x14ac:dyDescent="0.35">
      <c r="A1812" s="3"/>
      <c r="B1812" s="4"/>
      <c r="C1812" s="4"/>
      <c r="D1812" s="4"/>
      <c r="E1812" s="4"/>
      <c r="F1812" s="4"/>
      <c r="G1812" s="4"/>
      <c r="H1812" s="4"/>
      <c r="I1812" s="4"/>
      <c r="J1812" s="4"/>
      <c r="K1812" s="4"/>
      <c r="L1812" s="4"/>
      <c r="M1812" s="4"/>
      <c r="N1812" s="4"/>
      <c r="O1812" s="4"/>
      <c r="P1812" s="4"/>
      <c r="Q1812" s="4"/>
      <c r="R1812" s="4"/>
      <c r="S1812" s="4"/>
      <c r="T1812" s="4"/>
      <c r="U1812" s="4"/>
      <c r="V1812" s="4"/>
      <c r="W1812" s="4"/>
      <c r="X1812" s="4"/>
      <c r="Y1812" s="4"/>
      <c r="Z1812" s="4"/>
      <c r="AA1812" s="4"/>
      <c r="AB1812" s="5"/>
    </row>
    <row r="1813" spans="1:28" x14ac:dyDescent="0.35">
      <c r="A1813" s="3"/>
      <c r="B1813" s="4"/>
      <c r="C1813" s="4"/>
      <c r="D1813" s="4"/>
      <c r="E1813" s="4"/>
      <c r="F1813" s="4"/>
      <c r="G1813" s="4"/>
      <c r="H1813" s="4"/>
      <c r="I1813" s="4"/>
      <c r="J1813" s="4"/>
      <c r="K1813" s="4"/>
      <c r="L1813" s="4"/>
      <c r="M1813" s="4"/>
      <c r="N1813" s="4"/>
      <c r="O1813" s="4"/>
      <c r="P1813" s="4"/>
      <c r="Q1813" s="4"/>
      <c r="R1813" s="4"/>
      <c r="S1813" s="4"/>
      <c r="T1813" s="4"/>
      <c r="U1813" s="4"/>
      <c r="V1813" s="4"/>
      <c r="W1813" s="4"/>
      <c r="X1813" s="4"/>
      <c r="Y1813" s="4"/>
      <c r="Z1813" s="4"/>
      <c r="AA1813" s="4"/>
      <c r="AB1813" s="5"/>
    </row>
    <row r="1814" spans="1:28" x14ac:dyDescent="0.35">
      <c r="A1814" s="3"/>
      <c r="B1814" s="4"/>
      <c r="C1814" s="4"/>
      <c r="D1814" s="4"/>
      <c r="E1814" s="4"/>
      <c r="F1814" s="4"/>
      <c r="G1814" s="4"/>
      <c r="H1814" s="4"/>
      <c r="I1814" s="4"/>
      <c r="J1814" s="4"/>
      <c r="K1814" s="4"/>
      <c r="L1814" s="4"/>
      <c r="M1814" s="4"/>
      <c r="N1814" s="4"/>
      <c r="O1814" s="4"/>
      <c r="P1814" s="4"/>
      <c r="Q1814" s="4"/>
      <c r="R1814" s="4"/>
      <c r="S1814" s="4"/>
      <c r="T1814" s="4"/>
      <c r="U1814" s="4"/>
      <c r="V1814" s="4"/>
      <c r="W1814" s="4"/>
      <c r="X1814" s="4"/>
      <c r="Y1814" s="4"/>
      <c r="Z1814" s="4"/>
      <c r="AA1814" s="4"/>
      <c r="AB1814" s="5"/>
    </row>
    <row r="1815" spans="1:28" x14ac:dyDescent="0.35">
      <c r="A1815" s="3"/>
      <c r="B1815" s="4"/>
      <c r="C1815" s="4"/>
      <c r="D1815" s="4"/>
      <c r="E1815" s="4"/>
      <c r="F1815" s="4"/>
      <c r="G1815" s="4"/>
      <c r="H1815" s="4"/>
      <c r="I1815" s="4"/>
      <c r="J1815" s="4"/>
      <c r="K1815" s="4"/>
      <c r="L1815" s="4"/>
      <c r="M1815" s="4"/>
      <c r="N1815" s="4"/>
      <c r="O1815" s="4"/>
      <c r="P1815" s="4"/>
      <c r="Q1815" s="4"/>
      <c r="R1815" s="4"/>
      <c r="S1815" s="4"/>
      <c r="T1815" s="4"/>
      <c r="U1815" s="4"/>
      <c r="V1815" s="4"/>
      <c r="W1815" s="4"/>
      <c r="X1815" s="4"/>
      <c r="Y1815" s="4"/>
      <c r="Z1815" s="4"/>
      <c r="AA1815" s="4"/>
      <c r="AB1815" s="5"/>
    </row>
    <row r="1816" spans="1:28" x14ac:dyDescent="0.35">
      <c r="A1816" s="3"/>
      <c r="B1816" s="4"/>
      <c r="C1816" s="4"/>
      <c r="D1816" s="4"/>
      <c r="E1816" s="4"/>
      <c r="F1816" s="4"/>
      <c r="G1816" s="4"/>
      <c r="H1816" s="4"/>
      <c r="I1816" s="4"/>
      <c r="J1816" s="4"/>
      <c r="K1816" s="4"/>
      <c r="L1816" s="4"/>
      <c r="M1816" s="4"/>
      <c r="N1816" s="4"/>
      <c r="O1816" s="4"/>
      <c r="P1816" s="4"/>
      <c r="Q1816" s="4"/>
      <c r="R1816" s="4"/>
      <c r="S1816" s="4"/>
      <c r="T1816" s="4"/>
      <c r="U1816" s="4"/>
      <c r="V1816" s="4"/>
      <c r="W1816" s="4"/>
      <c r="X1816" s="4"/>
      <c r="Y1816" s="4"/>
      <c r="Z1816" s="4"/>
      <c r="AA1816" s="4"/>
      <c r="AB1816" s="5"/>
    </row>
    <row r="1817" spans="1:28" x14ac:dyDescent="0.35">
      <c r="A1817" s="3"/>
      <c r="B1817" s="4"/>
      <c r="C1817" s="4"/>
      <c r="D1817" s="4"/>
      <c r="E1817" s="4"/>
      <c r="F1817" s="4"/>
      <c r="G1817" s="4"/>
      <c r="H1817" s="4"/>
      <c r="I1817" s="4"/>
      <c r="J1817" s="4"/>
      <c r="K1817" s="4"/>
      <c r="L1817" s="4"/>
      <c r="M1817" s="4"/>
      <c r="N1817" s="4"/>
      <c r="O1817" s="4"/>
      <c r="P1817" s="4"/>
      <c r="Q1817" s="4"/>
      <c r="R1817" s="4"/>
      <c r="S1817" s="4"/>
      <c r="T1817" s="4"/>
      <c r="U1817" s="4"/>
      <c r="V1817" s="4"/>
      <c r="W1817" s="4"/>
      <c r="X1817" s="4"/>
      <c r="Y1817" s="4"/>
      <c r="Z1817" s="4"/>
      <c r="AA1817" s="4"/>
      <c r="AB1817" s="5"/>
    </row>
    <row r="1818" spans="1:28" x14ac:dyDescent="0.35">
      <c r="A1818" s="3"/>
      <c r="B1818" s="4"/>
      <c r="C1818" s="4"/>
      <c r="D1818" s="4"/>
      <c r="E1818" s="4"/>
      <c r="F1818" s="4"/>
      <c r="G1818" s="4"/>
      <c r="H1818" s="4"/>
      <c r="I1818" s="4"/>
      <c r="J1818" s="4"/>
      <c r="K1818" s="4"/>
      <c r="L1818" s="4"/>
      <c r="M1818" s="4"/>
      <c r="N1818" s="4"/>
      <c r="O1818" s="4"/>
      <c r="P1818" s="4"/>
      <c r="Q1818" s="4"/>
      <c r="R1818" s="4"/>
      <c r="S1818" s="4"/>
      <c r="T1818" s="4"/>
      <c r="U1818" s="4"/>
      <c r="V1818" s="4"/>
      <c r="W1818" s="4"/>
      <c r="X1818" s="4"/>
      <c r="Y1818" s="4"/>
      <c r="Z1818" s="4"/>
      <c r="AA1818" s="4"/>
      <c r="AB1818" s="5"/>
    </row>
    <row r="1819" spans="1:28" x14ac:dyDescent="0.35">
      <c r="A1819" s="3"/>
      <c r="B1819" s="4"/>
      <c r="C1819" s="4"/>
      <c r="D1819" s="4"/>
      <c r="E1819" s="4"/>
      <c r="F1819" s="4"/>
      <c r="G1819" s="4"/>
      <c r="H1819" s="4"/>
      <c r="I1819" s="4"/>
      <c r="J1819" s="4"/>
      <c r="K1819" s="4"/>
      <c r="L1819" s="4"/>
      <c r="M1819" s="4"/>
      <c r="N1819" s="4"/>
      <c r="O1819" s="4"/>
      <c r="P1819" s="4"/>
      <c r="Q1819" s="4"/>
      <c r="R1819" s="4"/>
      <c r="S1819" s="4"/>
      <c r="T1819" s="4"/>
      <c r="U1819" s="4"/>
      <c r="V1819" s="4"/>
      <c r="W1819" s="4"/>
      <c r="X1819" s="4"/>
      <c r="Y1819" s="4"/>
      <c r="Z1819" s="4"/>
      <c r="AA1819" s="4"/>
      <c r="AB1819" s="5"/>
    </row>
    <row r="1820" spans="1:28" x14ac:dyDescent="0.35">
      <c r="A1820" s="3"/>
      <c r="B1820" s="4"/>
      <c r="C1820" s="4"/>
      <c r="D1820" s="4"/>
      <c r="E1820" s="4"/>
      <c r="F1820" s="4"/>
      <c r="G1820" s="4"/>
      <c r="H1820" s="4"/>
      <c r="I1820" s="4"/>
      <c r="J1820" s="4"/>
      <c r="K1820" s="4"/>
      <c r="L1820" s="4"/>
      <c r="M1820" s="4"/>
      <c r="N1820" s="4"/>
      <c r="O1820" s="4"/>
      <c r="P1820" s="4"/>
      <c r="Q1820" s="4"/>
      <c r="R1820" s="4"/>
      <c r="S1820" s="4"/>
      <c r="T1820" s="4"/>
      <c r="U1820" s="4"/>
      <c r="V1820" s="4"/>
      <c r="W1820" s="4"/>
      <c r="X1820" s="4"/>
      <c r="Y1820" s="4"/>
      <c r="Z1820" s="4"/>
      <c r="AA1820" s="4"/>
      <c r="AB1820" s="5"/>
    </row>
    <row r="1821" spans="1:28" x14ac:dyDescent="0.35">
      <c r="A1821" s="3"/>
      <c r="B1821" s="4"/>
      <c r="C1821" s="4"/>
      <c r="D1821" s="4"/>
      <c r="E1821" s="4"/>
      <c r="F1821" s="4"/>
      <c r="G1821" s="4"/>
      <c r="H1821" s="4"/>
      <c r="I1821" s="4"/>
      <c r="J1821" s="4"/>
      <c r="K1821" s="4"/>
      <c r="L1821" s="4"/>
      <c r="M1821" s="4"/>
      <c r="N1821" s="4"/>
      <c r="O1821" s="4"/>
      <c r="P1821" s="4"/>
      <c r="Q1821" s="4"/>
      <c r="R1821" s="4"/>
      <c r="S1821" s="4"/>
      <c r="T1821" s="4"/>
      <c r="U1821" s="4"/>
      <c r="V1821" s="4"/>
      <c r="W1821" s="4"/>
      <c r="X1821" s="4"/>
      <c r="Y1821" s="4"/>
      <c r="Z1821" s="4"/>
      <c r="AA1821" s="4"/>
      <c r="AB1821" s="5"/>
    </row>
    <row r="1822" spans="1:28" x14ac:dyDescent="0.35">
      <c r="A1822" s="3"/>
      <c r="B1822" s="4"/>
      <c r="C1822" s="4"/>
      <c r="D1822" s="4"/>
      <c r="E1822" s="4"/>
      <c r="F1822" s="4"/>
      <c r="G1822" s="4"/>
      <c r="H1822" s="4"/>
      <c r="I1822" s="4"/>
      <c r="J1822" s="4"/>
      <c r="K1822" s="4"/>
      <c r="L1822" s="4"/>
      <c r="M1822" s="4"/>
      <c r="N1822" s="4"/>
      <c r="O1822" s="4"/>
      <c r="P1822" s="4"/>
      <c r="Q1822" s="4"/>
      <c r="R1822" s="4"/>
      <c r="S1822" s="4"/>
      <c r="T1822" s="4"/>
      <c r="U1822" s="4"/>
      <c r="V1822" s="4"/>
      <c r="W1822" s="4"/>
      <c r="X1822" s="4"/>
      <c r="Y1822" s="4"/>
      <c r="Z1822" s="4"/>
      <c r="AA1822" s="4"/>
      <c r="AB1822" s="5"/>
    </row>
    <row r="1823" spans="1:28" x14ac:dyDescent="0.35">
      <c r="A1823" s="3"/>
      <c r="B1823" s="4"/>
      <c r="C1823" s="4"/>
      <c r="D1823" s="4"/>
      <c r="E1823" s="4"/>
      <c r="F1823" s="4"/>
      <c r="G1823" s="4"/>
      <c r="H1823" s="4"/>
      <c r="I1823" s="4"/>
      <c r="J1823" s="4"/>
      <c r="K1823" s="4"/>
      <c r="L1823" s="4"/>
      <c r="M1823" s="4"/>
      <c r="N1823" s="4"/>
      <c r="O1823" s="4"/>
      <c r="P1823" s="4"/>
      <c r="Q1823" s="4"/>
      <c r="R1823" s="4"/>
      <c r="S1823" s="4"/>
      <c r="T1823" s="4"/>
      <c r="U1823" s="4"/>
      <c r="V1823" s="4"/>
      <c r="W1823" s="4"/>
      <c r="X1823" s="4"/>
      <c r="Y1823" s="4"/>
      <c r="Z1823" s="4"/>
      <c r="AA1823" s="4"/>
      <c r="AB1823" s="5"/>
    </row>
    <row r="1824" spans="1:28" x14ac:dyDescent="0.35">
      <c r="A1824" s="3"/>
      <c r="B1824" s="4"/>
      <c r="C1824" s="4"/>
      <c r="D1824" s="4"/>
      <c r="E1824" s="4"/>
      <c r="F1824" s="4"/>
      <c r="G1824" s="4"/>
      <c r="H1824" s="4"/>
      <c r="I1824" s="4"/>
      <c r="J1824" s="4"/>
      <c r="K1824" s="4"/>
      <c r="L1824" s="4"/>
      <c r="M1824" s="4"/>
      <c r="N1824" s="4"/>
      <c r="O1824" s="4"/>
      <c r="P1824" s="4"/>
      <c r="Q1824" s="4"/>
      <c r="R1824" s="4"/>
      <c r="S1824" s="4"/>
      <c r="T1824" s="4"/>
      <c r="U1824" s="4"/>
      <c r="V1824" s="4"/>
      <c r="W1824" s="4"/>
      <c r="X1824" s="4"/>
      <c r="Y1824" s="4"/>
      <c r="Z1824" s="4"/>
      <c r="AA1824" s="4"/>
      <c r="AB1824" s="5"/>
    </row>
    <row r="1825" spans="1:28" x14ac:dyDescent="0.35">
      <c r="A1825" s="3"/>
      <c r="B1825" s="4"/>
      <c r="C1825" s="4"/>
      <c r="D1825" s="4"/>
      <c r="E1825" s="4"/>
      <c r="F1825" s="4"/>
      <c r="G1825" s="4"/>
      <c r="H1825" s="4"/>
      <c r="I1825" s="4"/>
      <c r="J1825" s="4"/>
      <c r="K1825" s="4"/>
      <c r="L1825" s="4"/>
      <c r="M1825" s="4"/>
      <c r="N1825" s="4"/>
      <c r="O1825" s="4"/>
      <c r="P1825" s="4"/>
      <c r="Q1825" s="4"/>
      <c r="R1825" s="4"/>
      <c r="S1825" s="4"/>
      <c r="T1825" s="4"/>
      <c r="U1825" s="4"/>
      <c r="V1825" s="4"/>
      <c r="W1825" s="4"/>
      <c r="X1825" s="4"/>
      <c r="Y1825" s="4"/>
      <c r="Z1825" s="4"/>
      <c r="AA1825" s="4"/>
      <c r="AB1825" s="5"/>
    </row>
    <row r="1826" spans="1:28" x14ac:dyDescent="0.35">
      <c r="A1826" s="3"/>
      <c r="B1826" s="4"/>
      <c r="C1826" s="4"/>
      <c r="D1826" s="4"/>
      <c r="E1826" s="4"/>
      <c r="F1826" s="4"/>
      <c r="G1826" s="4"/>
      <c r="H1826" s="4"/>
      <c r="I1826" s="4"/>
      <c r="J1826" s="4"/>
      <c r="K1826" s="4"/>
      <c r="L1826" s="4"/>
      <c r="M1826" s="4"/>
      <c r="N1826" s="4"/>
      <c r="O1826" s="4"/>
      <c r="P1826" s="4"/>
      <c r="Q1826" s="4"/>
      <c r="R1826" s="4"/>
      <c r="S1826" s="4"/>
      <c r="T1826" s="4"/>
      <c r="U1826" s="4"/>
      <c r="V1826" s="4"/>
      <c r="W1826" s="4"/>
      <c r="X1826" s="4"/>
      <c r="Y1826" s="4"/>
      <c r="Z1826" s="4"/>
      <c r="AA1826" s="4"/>
      <c r="AB1826" s="5"/>
    </row>
    <row r="1827" spans="1:28" x14ac:dyDescent="0.35">
      <c r="A1827" s="3"/>
      <c r="B1827" s="4"/>
      <c r="C1827" s="4"/>
      <c r="D1827" s="4"/>
      <c r="E1827" s="4"/>
      <c r="F1827" s="4"/>
      <c r="G1827" s="4"/>
      <c r="H1827" s="4"/>
      <c r="I1827" s="4"/>
      <c r="J1827" s="4"/>
      <c r="K1827" s="4"/>
      <c r="L1827" s="4"/>
      <c r="M1827" s="4"/>
      <c r="N1827" s="4"/>
      <c r="O1827" s="4"/>
      <c r="P1827" s="4"/>
      <c r="Q1827" s="4"/>
      <c r="R1827" s="4"/>
      <c r="S1827" s="4"/>
      <c r="T1827" s="4"/>
      <c r="U1827" s="4"/>
      <c r="V1827" s="4"/>
      <c r="W1827" s="4"/>
      <c r="X1827" s="4"/>
      <c r="Y1827" s="4"/>
      <c r="Z1827" s="4"/>
      <c r="AA1827" s="4"/>
      <c r="AB1827" s="5"/>
    </row>
    <row r="1828" spans="1:28" x14ac:dyDescent="0.35">
      <c r="A1828" s="3"/>
      <c r="B1828" s="4"/>
      <c r="C1828" s="4"/>
      <c r="D1828" s="4"/>
      <c r="E1828" s="4"/>
      <c r="F1828" s="4"/>
      <c r="G1828" s="4"/>
      <c r="H1828" s="4"/>
      <c r="I1828" s="4"/>
      <c r="J1828" s="4"/>
      <c r="K1828" s="4"/>
      <c r="L1828" s="4"/>
      <c r="M1828" s="4"/>
      <c r="N1828" s="4"/>
      <c r="O1828" s="4"/>
      <c r="P1828" s="4"/>
      <c r="Q1828" s="4"/>
      <c r="R1828" s="4"/>
      <c r="S1828" s="4"/>
      <c r="T1828" s="4"/>
      <c r="U1828" s="4"/>
      <c r="V1828" s="4"/>
      <c r="W1828" s="4"/>
      <c r="X1828" s="4"/>
      <c r="Y1828" s="4"/>
      <c r="Z1828" s="4"/>
      <c r="AA1828" s="4"/>
      <c r="AB1828" s="5"/>
    </row>
    <row r="1829" spans="1:28" x14ac:dyDescent="0.35">
      <c r="A1829" s="3"/>
      <c r="B1829" s="4"/>
      <c r="C1829" s="4"/>
      <c r="D1829" s="4"/>
      <c r="E1829" s="4"/>
      <c r="F1829" s="4"/>
      <c r="G1829" s="4"/>
      <c r="H1829" s="4"/>
      <c r="I1829" s="4"/>
      <c r="J1829" s="4"/>
      <c r="K1829" s="4"/>
      <c r="L1829" s="4"/>
      <c r="M1829" s="4"/>
      <c r="N1829" s="4"/>
      <c r="O1829" s="4"/>
      <c r="P1829" s="4"/>
      <c r="Q1829" s="4"/>
      <c r="R1829" s="4"/>
      <c r="S1829" s="4"/>
      <c r="T1829" s="4"/>
      <c r="U1829" s="4"/>
      <c r="V1829" s="4"/>
      <c r="W1829" s="4"/>
      <c r="X1829" s="4"/>
      <c r="Y1829" s="4"/>
      <c r="Z1829" s="4"/>
      <c r="AA1829" s="4"/>
      <c r="AB1829" s="5"/>
    </row>
    <row r="1830" spans="1:28" x14ac:dyDescent="0.35">
      <c r="A1830" s="3"/>
      <c r="B1830" s="4"/>
      <c r="C1830" s="4"/>
      <c r="D1830" s="4"/>
      <c r="E1830" s="4"/>
      <c r="F1830" s="4"/>
      <c r="G1830" s="4"/>
      <c r="H1830" s="4"/>
      <c r="I1830" s="4"/>
      <c r="J1830" s="4"/>
      <c r="K1830" s="4"/>
      <c r="L1830" s="4"/>
      <c r="M1830" s="4"/>
      <c r="N1830" s="4"/>
      <c r="O1830" s="4"/>
      <c r="P1830" s="4"/>
      <c r="Q1830" s="4"/>
      <c r="R1830" s="4"/>
      <c r="S1830" s="4"/>
      <c r="T1830" s="4"/>
      <c r="U1830" s="4"/>
      <c r="V1830" s="4"/>
      <c r="W1830" s="4"/>
      <c r="X1830" s="4"/>
      <c r="Y1830" s="4"/>
      <c r="Z1830" s="4"/>
      <c r="AA1830" s="4"/>
      <c r="AB1830" s="5"/>
    </row>
    <row r="1831" spans="1:28" x14ac:dyDescent="0.35">
      <c r="A1831" s="3"/>
      <c r="B1831" s="4"/>
      <c r="C1831" s="4"/>
      <c r="D1831" s="4"/>
      <c r="E1831" s="4"/>
      <c r="F1831" s="4"/>
      <c r="G1831" s="4"/>
      <c r="H1831" s="4"/>
      <c r="I1831" s="4"/>
      <c r="J1831" s="4"/>
      <c r="K1831" s="4"/>
      <c r="L1831" s="4"/>
      <c r="M1831" s="4"/>
      <c r="N1831" s="4"/>
      <c r="O1831" s="4"/>
      <c r="P1831" s="4"/>
      <c r="Q1831" s="4"/>
      <c r="R1831" s="4"/>
      <c r="S1831" s="4"/>
      <c r="T1831" s="4"/>
      <c r="U1831" s="4"/>
      <c r="V1831" s="4"/>
      <c r="W1831" s="4"/>
      <c r="X1831" s="4"/>
      <c r="Y1831" s="4"/>
      <c r="Z1831" s="4"/>
      <c r="AA1831" s="4"/>
      <c r="AB1831" s="5"/>
    </row>
    <row r="1832" spans="1:28" x14ac:dyDescent="0.35">
      <c r="A1832" s="3"/>
      <c r="B1832" s="4"/>
      <c r="C1832" s="4"/>
      <c r="D1832" s="4"/>
      <c r="E1832" s="4"/>
      <c r="F1832" s="4"/>
      <c r="G1832" s="4"/>
      <c r="H1832" s="4"/>
      <c r="I1832" s="4"/>
      <c r="J1832" s="4"/>
      <c r="K1832" s="4"/>
      <c r="L1832" s="4"/>
      <c r="M1832" s="4"/>
      <c r="N1832" s="4"/>
      <c r="O1832" s="4"/>
      <c r="P1832" s="4"/>
      <c r="Q1832" s="4"/>
      <c r="R1832" s="4"/>
      <c r="S1832" s="4"/>
      <c r="T1832" s="4"/>
      <c r="U1832" s="4"/>
      <c r="V1832" s="4"/>
      <c r="W1832" s="4"/>
      <c r="X1832" s="4"/>
      <c r="Y1832" s="4"/>
      <c r="Z1832" s="4"/>
      <c r="AA1832" s="4"/>
      <c r="AB1832" s="5"/>
    </row>
    <row r="1833" spans="1:28" x14ac:dyDescent="0.35">
      <c r="A1833" s="3"/>
      <c r="B1833" s="4"/>
      <c r="C1833" s="4"/>
      <c r="D1833" s="4"/>
      <c r="E1833" s="4"/>
      <c r="F1833" s="4"/>
      <c r="G1833" s="4"/>
      <c r="H1833" s="4"/>
      <c r="I1833" s="4"/>
      <c r="J1833" s="4"/>
      <c r="K1833" s="4"/>
      <c r="L1833" s="4"/>
      <c r="M1833" s="4"/>
      <c r="N1833" s="4"/>
      <c r="O1833" s="4"/>
      <c r="P1833" s="4"/>
      <c r="Q1833" s="4"/>
      <c r="R1833" s="4"/>
      <c r="S1833" s="4"/>
      <c r="T1833" s="4"/>
      <c r="U1833" s="4"/>
      <c r="V1833" s="4"/>
      <c r="W1833" s="4"/>
      <c r="X1833" s="4"/>
      <c r="Y1833" s="4"/>
      <c r="Z1833" s="4"/>
      <c r="AA1833" s="4"/>
      <c r="AB1833" s="5"/>
    </row>
    <row r="1834" spans="1:28" x14ac:dyDescent="0.35">
      <c r="A1834" s="3"/>
      <c r="B1834" s="4"/>
      <c r="C1834" s="4"/>
      <c r="D1834" s="4"/>
      <c r="E1834" s="4"/>
      <c r="F1834" s="4"/>
      <c r="G1834" s="4"/>
      <c r="H1834" s="4"/>
      <c r="I1834" s="4"/>
      <c r="J1834" s="4"/>
      <c r="K1834" s="4"/>
      <c r="L1834" s="4"/>
      <c r="M1834" s="4"/>
      <c r="N1834" s="4"/>
      <c r="O1834" s="4"/>
      <c r="P1834" s="4"/>
      <c r="Q1834" s="4"/>
      <c r="R1834" s="4"/>
      <c r="S1834" s="4"/>
      <c r="T1834" s="4"/>
      <c r="U1834" s="4"/>
      <c r="V1834" s="4"/>
      <c r="W1834" s="4"/>
      <c r="X1834" s="4"/>
      <c r="Y1834" s="4"/>
      <c r="Z1834" s="4"/>
      <c r="AA1834" s="4"/>
      <c r="AB1834" s="5"/>
    </row>
    <row r="1835" spans="1:28" x14ac:dyDescent="0.35">
      <c r="A1835" s="3"/>
      <c r="B1835" s="4"/>
      <c r="C1835" s="4"/>
      <c r="D1835" s="4"/>
      <c r="E1835" s="4"/>
      <c r="F1835" s="4"/>
      <c r="G1835" s="4"/>
      <c r="H1835" s="4"/>
      <c r="I1835" s="4"/>
      <c r="J1835" s="4"/>
      <c r="K1835" s="4"/>
      <c r="L1835" s="4"/>
      <c r="M1835" s="4"/>
      <c r="N1835" s="4"/>
      <c r="O1835" s="4"/>
      <c r="P1835" s="4"/>
      <c r="Q1835" s="4"/>
      <c r="R1835" s="4"/>
      <c r="S1835" s="4"/>
      <c r="T1835" s="4"/>
      <c r="U1835" s="4"/>
      <c r="V1835" s="4"/>
      <c r="W1835" s="4"/>
      <c r="X1835" s="4"/>
      <c r="Y1835" s="4"/>
      <c r="Z1835" s="4"/>
      <c r="AA1835" s="4"/>
      <c r="AB1835" s="5"/>
    </row>
    <row r="1836" spans="1:28" x14ac:dyDescent="0.35">
      <c r="A1836" s="3"/>
      <c r="B1836" s="4"/>
      <c r="C1836" s="4"/>
      <c r="D1836" s="4"/>
      <c r="E1836" s="4"/>
      <c r="F1836" s="4"/>
      <c r="G1836" s="4"/>
      <c r="H1836" s="4"/>
      <c r="I1836" s="4"/>
      <c r="J1836" s="4"/>
      <c r="K1836" s="4"/>
      <c r="L1836" s="4"/>
      <c r="M1836" s="4"/>
      <c r="N1836" s="4"/>
      <c r="O1836" s="4"/>
      <c r="P1836" s="4"/>
      <c r="Q1836" s="4"/>
      <c r="R1836" s="4"/>
      <c r="S1836" s="4"/>
      <c r="T1836" s="4"/>
      <c r="U1836" s="4"/>
      <c r="V1836" s="4"/>
      <c r="W1836" s="4"/>
      <c r="X1836" s="4"/>
      <c r="Y1836" s="4"/>
      <c r="Z1836" s="4"/>
      <c r="AA1836" s="4"/>
      <c r="AB1836" s="5"/>
    </row>
    <row r="1837" spans="1:28" x14ac:dyDescent="0.35">
      <c r="A1837" s="3"/>
      <c r="B1837" s="4"/>
      <c r="C1837" s="4"/>
      <c r="D1837" s="4"/>
      <c r="E1837" s="4"/>
      <c r="F1837" s="4"/>
      <c r="G1837" s="4"/>
      <c r="H1837" s="4"/>
      <c r="I1837" s="4"/>
      <c r="J1837" s="4"/>
      <c r="K1837" s="4"/>
      <c r="L1837" s="4"/>
      <c r="M1837" s="4"/>
      <c r="N1837" s="4"/>
      <c r="O1837" s="4"/>
      <c r="P1837" s="4"/>
      <c r="Q1837" s="4"/>
      <c r="R1837" s="4"/>
      <c r="S1837" s="4"/>
      <c r="T1837" s="4"/>
      <c r="U1837" s="4"/>
      <c r="V1837" s="4"/>
      <c r="W1837" s="4"/>
      <c r="X1837" s="4"/>
      <c r="Y1837" s="4"/>
      <c r="Z1837" s="4"/>
      <c r="AA1837" s="4"/>
      <c r="AB1837" s="5"/>
    </row>
    <row r="1838" spans="1:28" x14ac:dyDescent="0.35">
      <c r="A1838" s="3"/>
      <c r="B1838" s="4"/>
      <c r="C1838" s="4"/>
      <c r="D1838" s="4"/>
      <c r="E1838" s="4"/>
      <c r="F1838" s="4"/>
      <c r="G1838" s="4"/>
      <c r="H1838" s="4"/>
      <c r="I1838" s="4"/>
      <c r="J1838" s="4"/>
      <c r="K1838" s="4"/>
      <c r="L1838" s="4"/>
      <c r="M1838" s="4"/>
      <c r="N1838" s="4"/>
      <c r="O1838" s="4"/>
      <c r="P1838" s="4"/>
      <c r="Q1838" s="4"/>
      <c r="R1838" s="4"/>
      <c r="S1838" s="4"/>
      <c r="T1838" s="4"/>
      <c r="U1838" s="4"/>
      <c r="V1838" s="4"/>
      <c r="W1838" s="4"/>
      <c r="X1838" s="4"/>
      <c r="Y1838" s="4"/>
      <c r="Z1838" s="4"/>
      <c r="AA1838" s="4"/>
      <c r="AB1838" s="5"/>
    </row>
    <row r="1839" spans="1:28" x14ac:dyDescent="0.35">
      <c r="A1839" s="3"/>
      <c r="B1839" s="4"/>
      <c r="C1839" s="4"/>
      <c r="D1839" s="4"/>
      <c r="E1839" s="4"/>
      <c r="F1839" s="4"/>
      <c r="G1839" s="4"/>
      <c r="H1839" s="4"/>
      <c r="I1839" s="4"/>
      <c r="J1839" s="4"/>
      <c r="K1839" s="4"/>
      <c r="L1839" s="4"/>
      <c r="M1839" s="4"/>
      <c r="N1839" s="4"/>
      <c r="O1839" s="4"/>
      <c r="P1839" s="4"/>
      <c r="Q1839" s="4"/>
      <c r="R1839" s="4"/>
      <c r="S1839" s="4"/>
      <c r="T1839" s="4"/>
      <c r="U1839" s="4"/>
      <c r="V1839" s="4"/>
      <c r="W1839" s="4"/>
      <c r="X1839" s="4"/>
      <c r="Y1839" s="4"/>
      <c r="Z1839" s="4"/>
      <c r="AA1839" s="4"/>
      <c r="AB1839" s="5"/>
    </row>
    <row r="1840" spans="1:28" x14ac:dyDescent="0.35">
      <c r="A1840" s="3"/>
      <c r="B1840" s="4"/>
      <c r="C1840" s="4"/>
      <c r="D1840" s="4"/>
      <c r="E1840" s="4"/>
      <c r="F1840" s="4"/>
      <c r="G1840" s="4"/>
      <c r="H1840" s="4"/>
      <c r="I1840" s="4"/>
      <c r="J1840" s="4"/>
      <c r="K1840" s="4"/>
      <c r="L1840" s="4"/>
      <c r="M1840" s="4"/>
      <c r="N1840" s="4"/>
      <c r="O1840" s="4"/>
      <c r="P1840" s="4"/>
      <c r="Q1840" s="4"/>
      <c r="R1840" s="4"/>
      <c r="S1840" s="4"/>
      <c r="T1840" s="4"/>
      <c r="U1840" s="4"/>
      <c r="V1840" s="4"/>
      <c r="W1840" s="4"/>
      <c r="X1840" s="4"/>
      <c r="Y1840" s="4"/>
      <c r="Z1840" s="4"/>
      <c r="AA1840" s="4"/>
      <c r="AB1840" s="5"/>
    </row>
    <row r="1841" spans="1:28" x14ac:dyDescent="0.35">
      <c r="A1841" s="3"/>
      <c r="B1841" s="4"/>
      <c r="C1841" s="4"/>
      <c r="D1841" s="4"/>
      <c r="E1841" s="4"/>
      <c r="F1841" s="4"/>
      <c r="G1841" s="4"/>
      <c r="H1841" s="4"/>
      <c r="I1841" s="4"/>
      <c r="J1841" s="4"/>
      <c r="K1841" s="4"/>
      <c r="L1841" s="4"/>
      <c r="M1841" s="4"/>
      <c r="N1841" s="4"/>
      <c r="O1841" s="4"/>
      <c r="P1841" s="4"/>
      <c r="Q1841" s="4"/>
      <c r="R1841" s="4"/>
      <c r="S1841" s="4"/>
      <c r="T1841" s="4"/>
      <c r="U1841" s="4"/>
      <c r="V1841" s="4"/>
      <c r="W1841" s="4"/>
      <c r="X1841" s="4"/>
      <c r="Y1841" s="4"/>
      <c r="Z1841" s="4"/>
      <c r="AA1841" s="4"/>
      <c r="AB1841" s="5"/>
    </row>
    <row r="1842" spans="1:28" x14ac:dyDescent="0.35">
      <c r="A1842" s="3"/>
      <c r="B1842" s="4"/>
      <c r="C1842" s="4"/>
      <c r="D1842" s="4"/>
      <c r="E1842" s="4"/>
      <c r="F1842" s="4"/>
      <c r="G1842" s="4"/>
      <c r="H1842" s="4"/>
      <c r="I1842" s="4"/>
      <c r="J1842" s="4"/>
      <c r="K1842" s="4"/>
      <c r="L1842" s="4"/>
      <c r="M1842" s="4"/>
      <c r="N1842" s="4"/>
      <c r="O1842" s="4"/>
      <c r="P1842" s="4"/>
      <c r="Q1842" s="4"/>
      <c r="R1842" s="4"/>
      <c r="S1842" s="4"/>
      <c r="T1842" s="4"/>
      <c r="U1842" s="4"/>
      <c r="V1842" s="4"/>
      <c r="W1842" s="4"/>
      <c r="X1842" s="4"/>
      <c r="Y1842" s="4"/>
      <c r="Z1842" s="4"/>
      <c r="AA1842" s="4"/>
      <c r="AB1842" s="5"/>
    </row>
    <row r="1843" spans="1:28" x14ac:dyDescent="0.35">
      <c r="A1843" s="3"/>
      <c r="B1843" s="4"/>
      <c r="C1843" s="4"/>
      <c r="D1843" s="4"/>
      <c r="E1843" s="4"/>
      <c r="F1843" s="4"/>
      <c r="G1843" s="4"/>
      <c r="H1843" s="4"/>
      <c r="I1843" s="4"/>
      <c r="J1843" s="4"/>
      <c r="K1843" s="4"/>
      <c r="L1843" s="4"/>
      <c r="M1843" s="4"/>
      <c r="N1843" s="4"/>
      <c r="O1843" s="4"/>
      <c r="P1843" s="4"/>
      <c r="Q1843" s="4"/>
      <c r="R1843" s="4"/>
      <c r="S1843" s="4"/>
      <c r="T1843" s="4"/>
      <c r="U1843" s="4"/>
      <c r="V1843" s="4"/>
      <c r="W1843" s="4"/>
      <c r="X1843" s="4"/>
      <c r="Y1843" s="4"/>
      <c r="Z1843" s="4"/>
      <c r="AA1843" s="4"/>
      <c r="AB1843" s="5"/>
    </row>
    <row r="1844" spans="1:28" x14ac:dyDescent="0.35">
      <c r="A1844" s="3"/>
      <c r="B1844" s="4"/>
      <c r="C1844" s="4"/>
      <c r="D1844" s="4"/>
      <c r="E1844" s="4"/>
      <c r="F1844" s="4"/>
      <c r="G1844" s="4"/>
      <c r="H1844" s="4"/>
      <c r="I1844" s="4"/>
      <c r="J1844" s="4"/>
      <c r="K1844" s="4"/>
      <c r="L1844" s="4"/>
      <c r="M1844" s="4"/>
      <c r="N1844" s="4"/>
      <c r="O1844" s="4"/>
      <c r="P1844" s="4"/>
      <c r="Q1844" s="4"/>
      <c r="R1844" s="4"/>
      <c r="S1844" s="4"/>
      <c r="T1844" s="4"/>
      <c r="U1844" s="4"/>
      <c r="V1844" s="4"/>
      <c r="W1844" s="4"/>
      <c r="X1844" s="4"/>
      <c r="Y1844" s="4"/>
      <c r="Z1844" s="4"/>
      <c r="AA1844" s="4"/>
      <c r="AB1844" s="5"/>
    </row>
    <row r="1845" spans="1:28" x14ac:dyDescent="0.35">
      <c r="A1845" s="3"/>
      <c r="B1845" s="4"/>
      <c r="C1845" s="4"/>
      <c r="D1845" s="4"/>
      <c r="E1845" s="4"/>
      <c r="F1845" s="4"/>
      <c r="G1845" s="4"/>
      <c r="H1845" s="4"/>
      <c r="I1845" s="4"/>
      <c r="J1845" s="4"/>
      <c r="K1845" s="4"/>
      <c r="L1845" s="4"/>
      <c r="M1845" s="4"/>
      <c r="N1845" s="4"/>
      <c r="O1845" s="4"/>
      <c r="P1845" s="4"/>
      <c r="Q1845" s="4"/>
      <c r="R1845" s="4"/>
      <c r="S1845" s="4"/>
      <c r="T1845" s="4"/>
      <c r="U1845" s="4"/>
      <c r="V1845" s="4"/>
      <c r="W1845" s="4"/>
      <c r="X1845" s="4"/>
      <c r="Y1845" s="4"/>
      <c r="Z1845" s="4"/>
      <c r="AA1845" s="4"/>
      <c r="AB1845" s="5"/>
    </row>
    <row r="1846" spans="1:28" x14ac:dyDescent="0.35">
      <c r="A1846" s="3"/>
      <c r="B1846" s="4"/>
      <c r="C1846" s="4"/>
      <c r="D1846" s="4"/>
      <c r="E1846" s="4"/>
      <c r="F1846" s="4"/>
      <c r="G1846" s="4"/>
      <c r="H1846" s="4"/>
      <c r="I1846" s="4"/>
      <c r="J1846" s="4"/>
      <c r="K1846" s="4"/>
      <c r="L1846" s="4"/>
      <c r="M1846" s="4"/>
      <c r="N1846" s="4"/>
      <c r="O1846" s="4"/>
      <c r="P1846" s="4"/>
      <c r="Q1846" s="4"/>
      <c r="R1846" s="4"/>
      <c r="S1846" s="4"/>
      <c r="T1846" s="4"/>
      <c r="U1846" s="4"/>
      <c r="V1846" s="4"/>
      <c r="W1846" s="4"/>
      <c r="X1846" s="4"/>
      <c r="Y1846" s="4"/>
      <c r="Z1846" s="4"/>
      <c r="AA1846" s="4"/>
      <c r="AB1846" s="5"/>
    </row>
    <row r="1847" spans="1:28" x14ac:dyDescent="0.35">
      <c r="A1847" s="3"/>
      <c r="B1847" s="4"/>
      <c r="C1847" s="4"/>
      <c r="D1847" s="4"/>
      <c r="E1847" s="4"/>
      <c r="F1847" s="4"/>
      <c r="G1847" s="4"/>
      <c r="H1847" s="4"/>
      <c r="I1847" s="4"/>
      <c r="J1847" s="4"/>
      <c r="K1847" s="4"/>
      <c r="L1847" s="4"/>
      <c r="M1847" s="4"/>
      <c r="N1847" s="4"/>
      <c r="O1847" s="4"/>
      <c r="P1847" s="4"/>
      <c r="Q1847" s="4"/>
      <c r="R1847" s="4"/>
      <c r="S1847" s="4"/>
      <c r="T1847" s="4"/>
      <c r="U1847" s="4"/>
      <c r="V1847" s="4"/>
      <c r="W1847" s="4"/>
      <c r="X1847" s="4"/>
      <c r="Y1847" s="4"/>
      <c r="Z1847" s="4"/>
      <c r="AA1847" s="4"/>
      <c r="AB1847" s="5"/>
    </row>
    <row r="1848" spans="1:28" x14ac:dyDescent="0.35">
      <c r="A1848" s="3"/>
      <c r="B1848" s="4"/>
      <c r="C1848" s="4"/>
      <c r="D1848" s="4"/>
      <c r="E1848" s="4"/>
      <c r="F1848" s="4"/>
      <c r="G1848" s="4"/>
      <c r="H1848" s="4"/>
      <c r="I1848" s="4"/>
      <c r="J1848" s="4"/>
      <c r="K1848" s="4"/>
      <c r="L1848" s="4"/>
      <c r="M1848" s="4"/>
      <c r="N1848" s="4"/>
      <c r="O1848" s="4"/>
      <c r="P1848" s="4"/>
      <c r="Q1848" s="4"/>
      <c r="R1848" s="4"/>
      <c r="S1848" s="4"/>
      <c r="T1848" s="4"/>
      <c r="U1848" s="4"/>
      <c r="V1848" s="4"/>
      <c r="W1848" s="4"/>
      <c r="X1848" s="4"/>
      <c r="Y1848" s="4"/>
      <c r="Z1848" s="4"/>
      <c r="AA1848" s="4"/>
      <c r="AB1848" s="5"/>
    </row>
    <row r="1849" spans="1:28" x14ac:dyDescent="0.35">
      <c r="A1849" s="3"/>
      <c r="B1849" s="4"/>
      <c r="C1849" s="4"/>
      <c r="D1849" s="4"/>
      <c r="E1849" s="4"/>
      <c r="F1849" s="4"/>
      <c r="G1849" s="4"/>
      <c r="H1849" s="4"/>
      <c r="I1849" s="4"/>
      <c r="J1849" s="4"/>
      <c r="K1849" s="4"/>
      <c r="L1849" s="4"/>
      <c r="M1849" s="4"/>
      <c r="N1849" s="4"/>
      <c r="O1849" s="4"/>
      <c r="P1849" s="4"/>
      <c r="Q1849" s="4"/>
      <c r="R1849" s="4"/>
      <c r="S1849" s="4"/>
      <c r="T1849" s="4"/>
      <c r="U1849" s="4"/>
      <c r="V1849" s="4"/>
      <c r="W1849" s="4"/>
      <c r="X1849" s="4"/>
      <c r="Y1849" s="4"/>
      <c r="Z1849" s="4"/>
      <c r="AA1849" s="4"/>
      <c r="AB1849" s="5"/>
    </row>
    <row r="1850" spans="1:28" x14ac:dyDescent="0.35">
      <c r="A1850" s="3"/>
      <c r="B1850" s="4"/>
      <c r="C1850" s="4"/>
      <c r="D1850" s="4"/>
      <c r="E1850" s="4"/>
      <c r="F1850" s="4"/>
      <c r="G1850" s="4"/>
      <c r="H1850" s="4"/>
      <c r="I1850" s="4"/>
      <c r="J1850" s="4"/>
      <c r="K1850" s="4"/>
      <c r="L1850" s="4"/>
      <c r="M1850" s="4"/>
      <c r="N1850" s="4"/>
      <c r="O1850" s="4"/>
      <c r="P1850" s="4"/>
      <c r="Q1850" s="4"/>
      <c r="R1850" s="4"/>
      <c r="S1850" s="4"/>
      <c r="T1850" s="4"/>
      <c r="U1850" s="4"/>
      <c r="V1850" s="4"/>
      <c r="W1850" s="4"/>
      <c r="X1850" s="4"/>
      <c r="Y1850" s="4"/>
      <c r="Z1850" s="4"/>
      <c r="AA1850" s="4"/>
      <c r="AB1850" s="5"/>
    </row>
    <row r="1851" spans="1:28" x14ac:dyDescent="0.35">
      <c r="A1851" s="3"/>
      <c r="B1851" s="4"/>
      <c r="C1851" s="4"/>
      <c r="D1851" s="4"/>
      <c r="E1851" s="4"/>
      <c r="F1851" s="4"/>
      <c r="G1851" s="4"/>
      <c r="H1851" s="4"/>
      <c r="I1851" s="4"/>
      <c r="J1851" s="4"/>
      <c r="K1851" s="4"/>
      <c r="L1851" s="4"/>
      <c r="M1851" s="4"/>
      <c r="N1851" s="4"/>
      <c r="O1851" s="4"/>
      <c r="P1851" s="4"/>
      <c r="Q1851" s="4"/>
      <c r="R1851" s="4"/>
      <c r="S1851" s="4"/>
      <c r="T1851" s="4"/>
      <c r="U1851" s="4"/>
      <c r="V1851" s="4"/>
      <c r="W1851" s="4"/>
      <c r="X1851" s="4"/>
      <c r="Y1851" s="4"/>
      <c r="Z1851" s="4"/>
      <c r="AA1851" s="4"/>
      <c r="AB1851" s="5"/>
    </row>
    <row r="1852" spans="1:28" x14ac:dyDescent="0.35">
      <c r="A1852" s="3"/>
      <c r="B1852" s="4"/>
      <c r="C1852" s="4"/>
      <c r="D1852" s="4"/>
      <c r="E1852" s="4"/>
      <c r="F1852" s="4"/>
      <c r="G1852" s="4"/>
      <c r="H1852" s="4"/>
      <c r="I1852" s="4"/>
      <c r="J1852" s="4"/>
      <c r="K1852" s="4"/>
      <c r="L1852" s="4"/>
      <c r="M1852" s="4"/>
      <c r="N1852" s="4"/>
      <c r="O1852" s="4"/>
      <c r="P1852" s="4"/>
      <c r="Q1852" s="4"/>
      <c r="R1852" s="4"/>
      <c r="S1852" s="4"/>
      <c r="T1852" s="4"/>
      <c r="U1852" s="4"/>
      <c r="V1852" s="4"/>
      <c r="W1852" s="4"/>
      <c r="X1852" s="4"/>
      <c r="Y1852" s="4"/>
      <c r="Z1852" s="4"/>
      <c r="AA1852" s="4"/>
      <c r="AB1852" s="5"/>
    </row>
    <row r="1853" spans="1:28" x14ac:dyDescent="0.35">
      <c r="A1853" s="3"/>
      <c r="B1853" s="4"/>
      <c r="C1853" s="4"/>
      <c r="D1853" s="4"/>
      <c r="E1853" s="4"/>
      <c r="F1853" s="4"/>
      <c r="G1853" s="4"/>
      <c r="H1853" s="4"/>
      <c r="I1853" s="4"/>
      <c r="J1853" s="4"/>
      <c r="K1853" s="4"/>
      <c r="L1853" s="4"/>
      <c r="M1853" s="4"/>
      <c r="N1853" s="4"/>
      <c r="O1853" s="4"/>
      <c r="P1853" s="4"/>
      <c r="Q1853" s="4"/>
      <c r="R1853" s="4"/>
      <c r="S1853" s="4"/>
      <c r="T1853" s="4"/>
      <c r="U1853" s="4"/>
      <c r="V1853" s="4"/>
      <c r="W1853" s="4"/>
      <c r="X1853" s="4"/>
      <c r="Y1853" s="4"/>
      <c r="Z1853" s="4"/>
      <c r="AA1853" s="4"/>
      <c r="AB1853" s="5"/>
    </row>
    <row r="1854" spans="1:28" x14ac:dyDescent="0.35">
      <c r="A1854" s="3"/>
      <c r="B1854" s="4"/>
      <c r="C1854" s="4"/>
      <c r="D1854" s="4"/>
      <c r="E1854" s="4"/>
      <c r="F1854" s="4"/>
      <c r="G1854" s="4"/>
      <c r="H1854" s="4"/>
      <c r="I1854" s="4"/>
      <c r="J1854" s="4"/>
      <c r="K1854" s="4"/>
      <c r="L1854" s="4"/>
      <c r="M1854" s="4"/>
      <c r="N1854" s="4"/>
      <c r="O1854" s="4"/>
      <c r="P1854" s="4"/>
      <c r="Q1854" s="4"/>
      <c r="R1854" s="4"/>
      <c r="S1854" s="4"/>
      <c r="T1854" s="4"/>
      <c r="U1854" s="4"/>
      <c r="V1854" s="4"/>
      <c r="W1854" s="4"/>
      <c r="X1854" s="4"/>
      <c r="Y1854" s="4"/>
      <c r="Z1854" s="4"/>
      <c r="AA1854" s="4"/>
      <c r="AB1854" s="5"/>
    </row>
    <row r="1855" spans="1:28" x14ac:dyDescent="0.35">
      <c r="A1855" s="3"/>
      <c r="B1855" s="4"/>
      <c r="C1855" s="4"/>
      <c r="D1855" s="4"/>
      <c r="E1855" s="4"/>
      <c r="F1855" s="4"/>
      <c r="G1855" s="4"/>
      <c r="H1855" s="4"/>
      <c r="I1855" s="4"/>
      <c r="J1855" s="4"/>
      <c r="K1855" s="4"/>
      <c r="L1855" s="4"/>
      <c r="M1855" s="4"/>
      <c r="N1855" s="4"/>
      <c r="O1855" s="4"/>
      <c r="P1855" s="4"/>
      <c r="Q1855" s="4"/>
      <c r="R1855" s="4"/>
      <c r="S1855" s="4"/>
      <c r="T1855" s="4"/>
      <c r="U1855" s="4"/>
      <c r="V1855" s="4"/>
      <c r="W1855" s="4"/>
      <c r="X1855" s="4"/>
      <c r="Y1855" s="4"/>
      <c r="Z1855" s="4"/>
      <c r="AA1855" s="4"/>
      <c r="AB1855" s="5"/>
    </row>
    <row r="1856" spans="1:28" x14ac:dyDescent="0.35">
      <c r="A1856" s="3"/>
      <c r="B1856" s="4"/>
      <c r="C1856" s="4"/>
      <c r="D1856" s="4"/>
      <c r="E1856" s="4"/>
      <c r="F1856" s="4"/>
      <c r="G1856" s="4"/>
      <c r="H1856" s="4"/>
      <c r="I1856" s="4"/>
      <c r="J1856" s="4"/>
      <c r="K1856" s="4"/>
      <c r="L1856" s="4"/>
      <c r="M1856" s="4"/>
      <c r="N1856" s="4"/>
      <c r="O1856" s="4"/>
      <c r="P1856" s="4"/>
      <c r="Q1856" s="4"/>
      <c r="R1856" s="4"/>
      <c r="S1856" s="4"/>
      <c r="T1856" s="4"/>
      <c r="U1856" s="4"/>
      <c r="V1856" s="4"/>
      <c r="W1856" s="4"/>
      <c r="X1856" s="4"/>
      <c r="Y1856" s="4"/>
      <c r="Z1856" s="4"/>
      <c r="AA1856" s="4"/>
      <c r="AB1856" s="5"/>
    </row>
    <row r="1857" spans="1:28" x14ac:dyDescent="0.35">
      <c r="A1857" s="3"/>
      <c r="B1857" s="4"/>
      <c r="C1857" s="4"/>
      <c r="D1857" s="4"/>
      <c r="E1857" s="4"/>
      <c r="F1857" s="4"/>
      <c r="G1857" s="4"/>
      <c r="H1857" s="4"/>
      <c r="I1857" s="4"/>
      <c r="J1857" s="4"/>
      <c r="K1857" s="4"/>
      <c r="L1857" s="4"/>
      <c r="M1857" s="4"/>
      <c r="N1857" s="4"/>
      <c r="O1857" s="4"/>
      <c r="P1857" s="4"/>
      <c r="Q1857" s="4"/>
      <c r="R1857" s="4"/>
      <c r="S1857" s="4"/>
      <c r="T1857" s="4"/>
      <c r="U1857" s="4"/>
      <c r="V1857" s="4"/>
      <c r="W1857" s="4"/>
      <c r="X1857" s="4"/>
      <c r="Y1857" s="4"/>
      <c r="Z1857" s="4"/>
      <c r="AA1857" s="4"/>
      <c r="AB1857" s="5"/>
    </row>
    <row r="1858" spans="1:28" x14ac:dyDescent="0.35">
      <c r="A1858" s="3"/>
      <c r="B1858" s="4"/>
      <c r="C1858" s="4"/>
      <c r="D1858" s="4"/>
      <c r="E1858" s="4"/>
      <c r="F1858" s="4"/>
      <c r="G1858" s="4"/>
      <c r="H1858" s="4"/>
      <c r="I1858" s="4"/>
      <c r="J1858" s="4"/>
      <c r="K1858" s="4"/>
      <c r="L1858" s="4"/>
      <c r="M1858" s="4"/>
      <c r="N1858" s="4"/>
      <c r="O1858" s="4"/>
      <c r="P1858" s="4"/>
      <c r="Q1858" s="4"/>
      <c r="R1858" s="4"/>
      <c r="S1858" s="4"/>
      <c r="T1858" s="4"/>
      <c r="U1858" s="4"/>
      <c r="V1858" s="4"/>
      <c r="W1858" s="4"/>
      <c r="X1858" s="4"/>
      <c r="Y1858" s="4"/>
      <c r="Z1858" s="4"/>
      <c r="AA1858" s="4"/>
      <c r="AB1858" s="5"/>
    </row>
    <row r="1859" spans="1:28" x14ac:dyDescent="0.35">
      <c r="A1859" s="3"/>
      <c r="B1859" s="4"/>
      <c r="C1859" s="4"/>
      <c r="D1859" s="4"/>
      <c r="E1859" s="4"/>
      <c r="F1859" s="4"/>
      <c r="G1859" s="4"/>
      <c r="H1859" s="4"/>
      <c r="I1859" s="4"/>
      <c r="J1859" s="4"/>
      <c r="K1859" s="4"/>
      <c r="L1859" s="4"/>
      <c r="M1859" s="4"/>
      <c r="N1859" s="4"/>
      <c r="O1859" s="4"/>
      <c r="P1859" s="4"/>
      <c r="Q1859" s="4"/>
      <c r="R1859" s="4"/>
      <c r="S1859" s="4"/>
      <c r="T1859" s="4"/>
      <c r="U1859" s="4"/>
      <c r="V1859" s="4"/>
      <c r="W1859" s="4"/>
      <c r="X1859" s="4"/>
      <c r="Y1859" s="4"/>
      <c r="Z1859" s="4"/>
      <c r="AA1859" s="4"/>
      <c r="AB1859" s="5"/>
    </row>
    <row r="1860" spans="1:28" x14ac:dyDescent="0.35">
      <c r="A1860" s="3"/>
      <c r="B1860" s="4"/>
      <c r="C1860" s="4"/>
      <c r="D1860" s="4"/>
      <c r="E1860" s="4"/>
      <c r="F1860" s="4"/>
      <c r="G1860" s="4"/>
      <c r="H1860" s="4"/>
      <c r="I1860" s="4"/>
      <c r="J1860" s="4"/>
      <c r="K1860" s="4"/>
      <c r="L1860" s="4"/>
      <c r="M1860" s="4"/>
      <c r="N1860" s="4"/>
      <c r="O1860" s="4"/>
      <c r="P1860" s="4"/>
      <c r="Q1860" s="4"/>
      <c r="R1860" s="4"/>
      <c r="S1860" s="4"/>
      <c r="T1860" s="4"/>
      <c r="U1860" s="4"/>
      <c r="V1860" s="4"/>
      <c r="W1860" s="4"/>
      <c r="X1860" s="4"/>
      <c r="Y1860" s="4"/>
      <c r="Z1860" s="4"/>
      <c r="AA1860" s="4"/>
      <c r="AB1860" s="5"/>
    </row>
    <row r="1861" spans="1:28" x14ac:dyDescent="0.35">
      <c r="A1861" s="3"/>
      <c r="B1861" s="4"/>
      <c r="C1861" s="4"/>
      <c r="D1861" s="4"/>
      <c r="E1861" s="4"/>
      <c r="F1861" s="4"/>
      <c r="G1861" s="4"/>
      <c r="H1861" s="4"/>
      <c r="I1861" s="4"/>
      <c r="J1861" s="4"/>
      <c r="K1861" s="4"/>
      <c r="L1861" s="4"/>
      <c r="M1861" s="4"/>
      <c r="N1861" s="4"/>
      <c r="O1861" s="4"/>
      <c r="P1861" s="4"/>
      <c r="Q1861" s="4"/>
      <c r="R1861" s="4"/>
      <c r="S1861" s="4"/>
      <c r="T1861" s="4"/>
      <c r="U1861" s="4"/>
      <c r="V1861" s="4"/>
      <c r="W1861" s="4"/>
      <c r="X1861" s="4"/>
      <c r="Y1861" s="4"/>
      <c r="Z1861" s="4"/>
      <c r="AA1861" s="4"/>
      <c r="AB1861" s="5"/>
    </row>
    <row r="1862" spans="1:28" x14ac:dyDescent="0.35">
      <c r="A1862" s="3"/>
      <c r="B1862" s="4"/>
      <c r="C1862" s="4"/>
      <c r="D1862" s="4"/>
      <c r="E1862" s="4"/>
      <c r="F1862" s="4"/>
      <c r="G1862" s="4"/>
      <c r="H1862" s="4"/>
      <c r="I1862" s="4"/>
      <c r="J1862" s="4"/>
      <c r="K1862" s="4"/>
      <c r="L1862" s="4"/>
      <c r="M1862" s="4"/>
      <c r="N1862" s="4"/>
      <c r="O1862" s="4"/>
      <c r="P1862" s="4"/>
      <c r="Q1862" s="4"/>
      <c r="R1862" s="4"/>
      <c r="S1862" s="4"/>
      <c r="T1862" s="4"/>
      <c r="U1862" s="4"/>
      <c r="V1862" s="4"/>
      <c r="W1862" s="4"/>
      <c r="X1862" s="4"/>
      <c r="Y1862" s="4"/>
      <c r="Z1862" s="4"/>
      <c r="AA1862" s="4"/>
      <c r="AB1862" s="5"/>
    </row>
    <row r="1863" spans="1:28" x14ac:dyDescent="0.35">
      <c r="A1863" s="3"/>
      <c r="B1863" s="4"/>
      <c r="C1863" s="4"/>
      <c r="D1863" s="4"/>
      <c r="E1863" s="4"/>
      <c r="F1863" s="4"/>
      <c r="G1863" s="4"/>
      <c r="H1863" s="4"/>
      <c r="I1863" s="4"/>
      <c r="J1863" s="4"/>
      <c r="K1863" s="4"/>
      <c r="L1863" s="4"/>
      <c r="M1863" s="4"/>
      <c r="N1863" s="4"/>
      <c r="O1863" s="4"/>
      <c r="P1863" s="4"/>
      <c r="Q1863" s="4"/>
      <c r="R1863" s="4"/>
      <c r="S1863" s="4"/>
      <c r="T1863" s="4"/>
      <c r="U1863" s="4"/>
      <c r="V1863" s="4"/>
      <c r="W1863" s="4"/>
      <c r="X1863" s="4"/>
      <c r="Y1863" s="4"/>
      <c r="Z1863" s="4"/>
      <c r="AA1863" s="4"/>
      <c r="AB1863" s="5"/>
    </row>
    <row r="1864" spans="1:28" x14ac:dyDescent="0.35">
      <c r="A1864" s="3"/>
      <c r="B1864" s="4"/>
      <c r="C1864" s="4"/>
      <c r="D1864" s="4"/>
      <c r="E1864" s="4"/>
      <c r="F1864" s="4"/>
      <c r="G1864" s="4"/>
      <c r="H1864" s="4"/>
      <c r="I1864" s="4"/>
      <c r="J1864" s="4"/>
      <c r="K1864" s="4"/>
      <c r="L1864" s="4"/>
      <c r="M1864" s="4"/>
      <c r="N1864" s="4"/>
      <c r="O1864" s="4"/>
      <c r="P1864" s="4"/>
      <c r="Q1864" s="4"/>
      <c r="R1864" s="4"/>
      <c r="S1864" s="4"/>
      <c r="T1864" s="4"/>
      <c r="U1864" s="4"/>
      <c r="V1864" s="4"/>
      <c r="W1864" s="4"/>
      <c r="X1864" s="4"/>
      <c r="Y1864" s="4"/>
      <c r="Z1864" s="4"/>
      <c r="AA1864" s="4"/>
      <c r="AB1864" s="5"/>
    </row>
    <row r="1865" spans="1:28" x14ac:dyDescent="0.35">
      <c r="A1865" s="3"/>
      <c r="B1865" s="4"/>
      <c r="C1865" s="4"/>
      <c r="D1865" s="4"/>
      <c r="E1865" s="4"/>
      <c r="F1865" s="4"/>
      <c r="G1865" s="4"/>
      <c r="H1865" s="4"/>
      <c r="I1865" s="4"/>
      <c r="J1865" s="4"/>
      <c r="K1865" s="4"/>
      <c r="L1865" s="4"/>
      <c r="M1865" s="4"/>
      <c r="N1865" s="4"/>
      <c r="O1865" s="4"/>
      <c r="P1865" s="4"/>
      <c r="Q1865" s="4"/>
      <c r="R1865" s="4"/>
      <c r="S1865" s="4"/>
      <c r="T1865" s="4"/>
      <c r="U1865" s="4"/>
      <c r="V1865" s="4"/>
      <c r="W1865" s="4"/>
      <c r="X1865" s="4"/>
      <c r="Y1865" s="4"/>
      <c r="Z1865" s="4"/>
      <c r="AA1865" s="4"/>
      <c r="AB1865" s="5"/>
    </row>
    <row r="1866" spans="1:28" x14ac:dyDescent="0.35">
      <c r="A1866" s="3"/>
      <c r="B1866" s="4"/>
      <c r="C1866" s="4"/>
      <c r="D1866" s="4"/>
      <c r="E1866" s="4"/>
      <c r="F1866" s="4"/>
      <c r="G1866" s="4"/>
      <c r="H1866" s="4"/>
      <c r="I1866" s="4"/>
      <c r="J1866" s="4"/>
      <c r="K1866" s="4"/>
      <c r="L1866" s="4"/>
      <c r="M1866" s="4"/>
      <c r="N1866" s="4"/>
      <c r="O1866" s="4"/>
      <c r="P1866" s="4"/>
      <c r="Q1866" s="4"/>
      <c r="R1866" s="4"/>
      <c r="S1866" s="4"/>
      <c r="T1866" s="4"/>
      <c r="U1866" s="4"/>
      <c r="V1866" s="4"/>
      <c r="W1866" s="4"/>
      <c r="X1866" s="4"/>
      <c r="Y1866" s="4"/>
      <c r="Z1866" s="4"/>
      <c r="AA1866" s="4"/>
      <c r="AB1866" s="5"/>
    </row>
    <row r="1867" spans="1:28" x14ac:dyDescent="0.35">
      <c r="A1867" s="3"/>
      <c r="B1867" s="4"/>
      <c r="C1867" s="4"/>
      <c r="D1867" s="4"/>
      <c r="E1867" s="4"/>
      <c r="F1867" s="4"/>
      <c r="G1867" s="4"/>
      <c r="H1867" s="4"/>
      <c r="I1867" s="4"/>
      <c r="J1867" s="4"/>
      <c r="K1867" s="4"/>
      <c r="L1867" s="4"/>
      <c r="M1867" s="4"/>
      <c r="N1867" s="4"/>
      <c r="O1867" s="4"/>
      <c r="P1867" s="4"/>
      <c r="Q1867" s="4"/>
      <c r="R1867" s="4"/>
      <c r="S1867" s="4"/>
      <c r="T1867" s="4"/>
      <c r="U1867" s="4"/>
      <c r="V1867" s="4"/>
      <c r="W1867" s="4"/>
      <c r="X1867" s="4"/>
      <c r="Y1867" s="4"/>
      <c r="Z1867" s="4"/>
      <c r="AA1867" s="4"/>
      <c r="AB1867" s="5"/>
    </row>
    <row r="1868" spans="1:28" x14ac:dyDescent="0.35">
      <c r="A1868" s="3"/>
      <c r="B1868" s="4"/>
      <c r="C1868" s="4"/>
      <c r="D1868" s="4"/>
      <c r="E1868" s="4"/>
      <c r="F1868" s="4"/>
      <c r="G1868" s="4"/>
      <c r="H1868" s="4"/>
      <c r="I1868" s="4"/>
      <c r="J1868" s="4"/>
      <c r="K1868" s="4"/>
      <c r="L1868" s="4"/>
      <c r="M1868" s="4"/>
      <c r="N1868" s="4"/>
      <c r="O1868" s="4"/>
      <c r="P1868" s="4"/>
      <c r="Q1868" s="4"/>
      <c r="R1868" s="4"/>
      <c r="S1868" s="4"/>
      <c r="T1868" s="4"/>
      <c r="U1868" s="4"/>
      <c r="V1868" s="4"/>
      <c r="W1868" s="4"/>
      <c r="X1868" s="4"/>
      <c r="Y1868" s="4"/>
      <c r="Z1868" s="4"/>
      <c r="AA1868" s="4"/>
      <c r="AB1868" s="5"/>
    </row>
    <row r="1869" spans="1:28" x14ac:dyDescent="0.35">
      <c r="A1869" s="3"/>
      <c r="B1869" s="4"/>
      <c r="C1869" s="4"/>
      <c r="D1869" s="4"/>
      <c r="E1869" s="4"/>
      <c r="F1869" s="4"/>
      <c r="G1869" s="4"/>
      <c r="H1869" s="4"/>
      <c r="I1869" s="4"/>
      <c r="J1869" s="4"/>
      <c r="K1869" s="4"/>
      <c r="L1869" s="4"/>
      <c r="M1869" s="4"/>
      <c r="N1869" s="4"/>
      <c r="O1869" s="4"/>
      <c r="P1869" s="4"/>
      <c r="Q1869" s="4"/>
      <c r="R1869" s="4"/>
      <c r="S1869" s="4"/>
      <c r="T1869" s="4"/>
      <c r="U1869" s="4"/>
      <c r="V1869" s="4"/>
      <c r="W1869" s="4"/>
      <c r="X1869" s="4"/>
      <c r="Y1869" s="4"/>
      <c r="Z1869" s="4"/>
      <c r="AA1869" s="4"/>
      <c r="AB1869" s="5"/>
    </row>
    <row r="1870" spans="1:28" x14ac:dyDescent="0.35">
      <c r="A1870" s="3"/>
      <c r="B1870" s="4"/>
      <c r="C1870" s="4"/>
      <c r="D1870" s="4"/>
      <c r="E1870" s="4"/>
      <c r="F1870" s="4"/>
      <c r="G1870" s="4"/>
      <c r="H1870" s="4"/>
      <c r="I1870" s="4"/>
      <c r="J1870" s="4"/>
      <c r="K1870" s="4"/>
      <c r="L1870" s="4"/>
      <c r="M1870" s="4"/>
      <c r="N1870" s="4"/>
      <c r="O1870" s="4"/>
      <c r="P1870" s="4"/>
      <c r="Q1870" s="4"/>
      <c r="R1870" s="4"/>
      <c r="S1870" s="4"/>
      <c r="T1870" s="4"/>
      <c r="U1870" s="4"/>
      <c r="V1870" s="4"/>
      <c r="W1870" s="4"/>
      <c r="X1870" s="4"/>
      <c r="Y1870" s="4"/>
      <c r="Z1870" s="4"/>
      <c r="AA1870" s="4"/>
      <c r="AB1870" s="5"/>
    </row>
    <row r="1871" spans="1:28" x14ac:dyDescent="0.35">
      <c r="A1871" s="3"/>
      <c r="B1871" s="4"/>
      <c r="C1871" s="4"/>
      <c r="D1871" s="4"/>
      <c r="E1871" s="4"/>
      <c r="F1871" s="4"/>
      <c r="G1871" s="4"/>
      <c r="H1871" s="4"/>
      <c r="I1871" s="4"/>
      <c r="J1871" s="4"/>
      <c r="K1871" s="4"/>
      <c r="L1871" s="4"/>
      <c r="M1871" s="4"/>
      <c r="N1871" s="4"/>
      <c r="O1871" s="4"/>
      <c r="P1871" s="4"/>
      <c r="Q1871" s="4"/>
      <c r="R1871" s="4"/>
      <c r="S1871" s="4"/>
      <c r="T1871" s="4"/>
      <c r="U1871" s="4"/>
      <c r="V1871" s="4"/>
      <c r="W1871" s="4"/>
      <c r="X1871" s="4"/>
      <c r="Y1871" s="4"/>
      <c r="Z1871" s="4"/>
      <c r="AA1871" s="4"/>
      <c r="AB1871" s="5"/>
    </row>
    <row r="1872" spans="1:28" x14ac:dyDescent="0.35">
      <c r="A1872" s="3"/>
      <c r="B1872" s="4"/>
      <c r="C1872" s="4"/>
      <c r="D1872" s="4"/>
      <c r="E1872" s="4"/>
      <c r="F1872" s="4"/>
      <c r="G1872" s="4"/>
      <c r="H1872" s="4"/>
      <c r="I1872" s="4"/>
      <c r="J1872" s="4"/>
      <c r="K1872" s="4"/>
      <c r="L1872" s="4"/>
      <c r="M1872" s="4"/>
      <c r="N1872" s="4"/>
      <c r="O1872" s="4"/>
      <c r="P1872" s="4"/>
      <c r="Q1872" s="4"/>
      <c r="R1872" s="4"/>
      <c r="S1872" s="4"/>
      <c r="T1872" s="4"/>
      <c r="U1872" s="4"/>
      <c r="V1872" s="4"/>
      <c r="W1872" s="4"/>
      <c r="X1872" s="4"/>
      <c r="Y1872" s="4"/>
      <c r="Z1872" s="4"/>
      <c r="AA1872" s="4"/>
      <c r="AB1872" s="5"/>
    </row>
    <row r="1873" spans="1:28" x14ac:dyDescent="0.35">
      <c r="A1873" s="3"/>
      <c r="B1873" s="4"/>
      <c r="C1873" s="4"/>
      <c r="D1873" s="4"/>
      <c r="E1873" s="4"/>
      <c r="F1873" s="4"/>
      <c r="G1873" s="4"/>
      <c r="H1873" s="4"/>
      <c r="I1873" s="4"/>
      <c r="J1873" s="4"/>
      <c r="K1873" s="4"/>
      <c r="L1873" s="4"/>
      <c r="M1873" s="4"/>
      <c r="N1873" s="4"/>
      <c r="O1873" s="4"/>
      <c r="P1873" s="4"/>
      <c r="Q1873" s="4"/>
      <c r="R1873" s="4"/>
      <c r="S1873" s="4"/>
      <c r="T1873" s="4"/>
      <c r="U1873" s="4"/>
      <c r="V1873" s="4"/>
      <c r="W1873" s="4"/>
      <c r="X1873" s="4"/>
      <c r="Y1873" s="4"/>
      <c r="Z1873" s="4"/>
      <c r="AA1873" s="4"/>
      <c r="AB1873" s="5"/>
    </row>
    <row r="1874" spans="1:28" x14ac:dyDescent="0.35">
      <c r="A1874" s="3"/>
      <c r="B1874" s="4"/>
      <c r="C1874" s="4"/>
      <c r="D1874" s="4"/>
      <c r="E1874" s="4"/>
      <c r="F1874" s="4"/>
      <c r="G1874" s="4"/>
      <c r="H1874" s="4"/>
      <c r="I1874" s="4"/>
      <c r="J1874" s="4"/>
      <c r="K1874" s="4"/>
      <c r="L1874" s="4"/>
      <c r="M1874" s="4"/>
      <c r="N1874" s="4"/>
      <c r="O1874" s="4"/>
      <c r="P1874" s="4"/>
      <c r="Q1874" s="4"/>
      <c r="R1874" s="4"/>
      <c r="S1874" s="4"/>
      <c r="T1874" s="4"/>
      <c r="U1874" s="4"/>
      <c r="V1874" s="4"/>
      <c r="W1874" s="4"/>
      <c r="X1874" s="4"/>
      <c r="Y1874" s="4"/>
      <c r="Z1874" s="4"/>
      <c r="AA1874" s="4"/>
      <c r="AB1874" s="5"/>
    </row>
    <row r="1875" spans="1:28" x14ac:dyDescent="0.35">
      <c r="A1875" s="3"/>
      <c r="B1875" s="4"/>
      <c r="C1875" s="4"/>
      <c r="D1875" s="4"/>
      <c r="E1875" s="4"/>
      <c r="F1875" s="4"/>
      <c r="G1875" s="4"/>
      <c r="H1875" s="4"/>
      <c r="I1875" s="4"/>
      <c r="J1875" s="4"/>
      <c r="K1875" s="4"/>
      <c r="L1875" s="4"/>
      <c r="M1875" s="4"/>
      <c r="N1875" s="4"/>
      <c r="O1875" s="4"/>
      <c r="P1875" s="4"/>
      <c r="Q1875" s="4"/>
      <c r="R1875" s="4"/>
      <c r="S1875" s="4"/>
      <c r="T1875" s="4"/>
      <c r="U1875" s="4"/>
      <c r="V1875" s="4"/>
      <c r="W1875" s="4"/>
      <c r="X1875" s="4"/>
      <c r="Y1875" s="4"/>
      <c r="Z1875" s="4"/>
      <c r="AA1875" s="4"/>
      <c r="AB1875" s="5"/>
    </row>
    <row r="1876" spans="1:28" x14ac:dyDescent="0.35">
      <c r="A1876" s="3"/>
      <c r="B1876" s="4"/>
      <c r="C1876" s="4"/>
      <c r="D1876" s="4"/>
      <c r="E1876" s="4"/>
      <c r="F1876" s="4"/>
      <c r="G1876" s="4"/>
      <c r="H1876" s="4"/>
      <c r="I1876" s="4"/>
      <c r="J1876" s="4"/>
      <c r="K1876" s="4"/>
      <c r="L1876" s="4"/>
      <c r="M1876" s="4"/>
      <c r="N1876" s="4"/>
      <c r="O1876" s="4"/>
      <c r="P1876" s="4"/>
      <c r="Q1876" s="4"/>
      <c r="R1876" s="4"/>
      <c r="S1876" s="4"/>
      <c r="T1876" s="4"/>
      <c r="U1876" s="4"/>
      <c r="V1876" s="4"/>
      <c r="W1876" s="4"/>
      <c r="X1876" s="4"/>
      <c r="Y1876" s="4"/>
      <c r="Z1876" s="4"/>
      <c r="AA1876" s="4"/>
      <c r="AB1876" s="5"/>
    </row>
    <row r="1877" spans="1:28" x14ac:dyDescent="0.35">
      <c r="A1877" s="3"/>
      <c r="B1877" s="4"/>
      <c r="C1877" s="4"/>
      <c r="D1877" s="4"/>
      <c r="E1877" s="4"/>
      <c r="F1877" s="4"/>
      <c r="G1877" s="4"/>
      <c r="H1877" s="4"/>
      <c r="I1877" s="4"/>
      <c r="J1877" s="4"/>
      <c r="K1877" s="4"/>
      <c r="L1877" s="4"/>
      <c r="M1877" s="4"/>
      <c r="N1877" s="4"/>
      <c r="O1877" s="4"/>
      <c r="P1877" s="4"/>
      <c r="Q1877" s="4"/>
      <c r="R1877" s="4"/>
      <c r="S1877" s="4"/>
      <c r="T1877" s="4"/>
      <c r="U1877" s="4"/>
      <c r="V1877" s="4"/>
      <c r="W1877" s="4"/>
      <c r="X1877" s="4"/>
      <c r="Y1877" s="4"/>
      <c r="Z1877" s="4"/>
      <c r="AA1877" s="4"/>
      <c r="AB1877" s="5"/>
    </row>
    <row r="1878" spans="1:28" x14ac:dyDescent="0.35">
      <c r="A1878" s="3"/>
      <c r="B1878" s="4"/>
      <c r="C1878" s="4"/>
      <c r="D1878" s="4"/>
      <c r="E1878" s="4"/>
      <c r="F1878" s="4"/>
      <c r="G1878" s="4"/>
      <c r="H1878" s="4"/>
      <c r="I1878" s="4"/>
      <c r="J1878" s="4"/>
      <c r="K1878" s="4"/>
      <c r="L1878" s="4"/>
      <c r="M1878" s="4"/>
      <c r="N1878" s="4"/>
      <c r="O1878" s="4"/>
      <c r="P1878" s="4"/>
      <c r="Q1878" s="4"/>
      <c r="R1878" s="4"/>
      <c r="S1878" s="4"/>
      <c r="T1878" s="4"/>
      <c r="U1878" s="4"/>
      <c r="V1878" s="4"/>
      <c r="W1878" s="4"/>
      <c r="X1878" s="4"/>
      <c r="Y1878" s="4"/>
      <c r="Z1878" s="4"/>
      <c r="AA1878" s="4"/>
      <c r="AB1878" s="5"/>
    </row>
    <row r="1879" spans="1:28" x14ac:dyDescent="0.35">
      <c r="A1879" s="3"/>
      <c r="B1879" s="4"/>
      <c r="C1879" s="4"/>
      <c r="D1879" s="4"/>
      <c r="E1879" s="4"/>
      <c r="F1879" s="4"/>
      <c r="G1879" s="4"/>
      <c r="H1879" s="4"/>
      <c r="I1879" s="4"/>
      <c r="J1879" s="4"/>
      <c r="K1879" s="4"/>
      <c r="L1879" s="4"/>
      <c r="M1879" s="4"/>
      <c r="N1879" s="4"/>
      <c r="O1879" s="4"/>
      <c r="P1879" s="4"/>
      <c r="Q1879" s="4"/>
      <c r="R1879" s="4"/>
      <c r="S1879" s="4"/>
      <c r="T1879" s="4"/>
      <c r="U1879" s="4"/>
      <c r="V1879" s="4"/>
      <c r="W1879" s="4"/>
      <c r="X1879" s="4"/>
      <c r="Y1879" s="4"/>
      <c r="Z1879" s="4"/>
      <c r="AA1879" s="4"/>
      <c r="AB1879" s="5"/>
    </row>
    <row r="1880" spans="1:28" x14ac:dyDescent="0.35">
      <c r="A1880" s="3"/>
      <c r="B1880" s="4"/>
      <c r="C1880" s="4"/>
      <c r="D1880" s="4"/>
      <c r="E1880" s="4"/>
      <c r="F1880" s="4"/>
      <c r="G1880" s="4"/>
      <c r="H1880" s="4"/>
      <c r="I1880" s="4"/>
      <c r="J1880" s="4"/>
      <c r="K1880" s="4"/>
      <c r="L1880" s="4"/>
      <c r="M1880" s="4"/>
      <c r="N1880" s="4"/>
      <c r="O1880" s="4"/>
      <c r="P1880" s="4"/>
      <c r="Q1880" s="4"/>
      <c r="R1880" s="4"/>
      <c r="S1880" s="4"/>
      <c r="T1880" s="4"/>
      <c r="U1880" s="4"/>
      <c r="V1880" s="4"/>
      <c r="W1880" s="4"/>
      <c r="X1880" s="4"/>
      <c r="Y1880" s="4"/>
      <c r="Z1880" s="4"/>
      <c r="AA1880" s="4"/>
      <c r="AB1880" s="5"/>
    </row>
    <row r="1881" spans="1:28" x14ac:dyDescent="0.35">
      <c r="A1881" s="3"/>
      <c r="B1881" s="4"/>
      <c r="C1881" s="4"/>
      <c r="D1881" s="4"/>
      <c r="E1881" s="4"/>
      <c r="F1881" s="4"/>
      <c r="G1881" s="4"/>
      <c r="H1881" s="4"/>
      <c r="I1881" s="4"/>
      <c r="J1881" s="4"/>
      <c r="K1881" s="4"/>
      <c r="L1881" s="4"/>
      <c r="M1881" s="4"/>
      <c r="N1881" s="4"/>
      <c r="O1881" s="4"/>
      <c r="P1881" s="4"/>
      <c r="Q1881" s="4"/>
      <c r="R1881" s="4"/>
      <c r="S1881" s="4"/>
      <c r="T1881" s="4"/>
      <c r="U1881" s="4"/>
      <c r="V1881" s="4"/>
      <c r="W1881" s="4"/>
      <c r="X1881" s="4"/>
      <c r="Y1881" s="4"/>
      <c r="Z1881" s="4"/>
      <c r="AA1881" s="4"/>
      <c r="AB1881" s="5"/>
    </row>
    <row r="1882" spans="1:28" x14ac:dyDescent="0.35">
      <c r="A1882" s="3"/>
      <c r="B1882" s="4"/>
      <c r="C1882" s="4"/>
      <c r="D1882" s="4"/>
      <c r="E1882" s="4"/>
      <c r="F1882" s="4"/>
      <c r="G1882" s="4"/>
      <c r="H1882" s="4"/>
      <c r="I1882" s="4"/>
      <c r="J1882" s="4"/>
      <c r="K1882" s="4"/>
      <c r="L1882" s="4"/>
      <c r="M1882" s="4"/>
      <c r="N1882" s="4"/>
      <c r="O1882" s="4"/>
      <c r="P1882" s="4"/>
      <c r="Q1882" s="4"/>
      <c r="R1882" s="4"/>
      <c r="S1882" s="4"/>
      <c r="T1882" s="4"/>
      <c r="U1882" s="4"/>
      <c r="V1882" s="4"/>
      <c r="W1882" s="4"/>
      <c r="X1882" s="4"/>
      <c r="Y1882" s="4"/>
      <c r="Z1882" s="4"/>
      <c r="AA1882" s="4"/>
      <c r="AB1882" s="5"/>
    </row>
    <row r="1883" spans="1:28" x14ac:dyDescent="0.35">
      <c r="A1883" s="3"/>
      <c r="B1883" s="4"/>
      <c r="C1883" s="4"/>
      <c r="D1883" s="4"/>
      <c r="E1883" s="4"/>
      <c r="F1883" s="4"/>
      <c r="G1883" s="4"/>
      <c r="H1883" s="4"/>
      <c r="I1883" s="4"/>
      <c r="J1883" s="4"/>
      <c r="K1883" s="4"/>
      <c r="L1883" s="4"/>
      <c r="M1883" s="4"/>
      <c r="N1883" s="4"/>
      <c r="O1883" s="4"/>
      <c r="P1883" s="4"/>
      <c r="Q1883" s="4"/>
      <c r="R1883" s="4"/>
      <c r="S1883" s="4"/>
      <c r="T1883" s="4"/>
      <c r="U1883" s="4"/>
      <c r="V1883" s="4"/>
      <c r="W1883" s="4"/>
      <c r="X1883" s="4"/>
      <c r="Y1883" s="4"/>
      <c r="Z1883" s="4"/>
      <c r="AA1883" s="4"/>
      <c r="AB1883" s="5"/>
    </row>
    <row r="1884" spans="1:28" x14ac:dyDescent="0.35">
      <c r="A1884" s="3"/>
      <c r="B1884" s="4"/>
      <c r="C1884" s="4"/>
      <c r="D1884" s="4"/>
      <c r="E1884" s="4"/>
      <c r="F1884" s="4"/>
      <c r="G1884" s="4"/>
      <c r="H1884" s="4"/>
      <c r="I1884" s="4"/>
      <c r="J1884" s="4"/>
      <c r="K1884" s="4"/>
      <c r="L1884" s="4"/>
      <c r="M1884" s="4"/>
      <c r="N1884" s="4"/>
      <c r="O1884" s="4"/>
      <c r="P1884" s="4"/>
      <c r="Q1884" s="4"/>
      <c r="R1884" s="4"/>
      <c r="S1884" s="4"/>
      <c r="T1884" s="4"/>
      <c r="U1884" s="4"/>
      <c r="V1884" s="4"/>
      <c r="W1884" s="4"/>
      <c r="X1884" s="4"/>
      <c r="Y1884" s="4"/>
      <c r="Z1884" s="4"/>
      <c r="AA1884" s="4"/>
      <c r="AB1884" s="5"/>
    </row>
    <row r="1885" spans="1:28" x14ac:dyDescent="0.35">
      <c r="A1885" s="3"/>
      <c r="B1885" s="4"/>
      <c r="C1885" s="4"/>
      <c r="D1885" s="4"/>
      <c r="E1885" s="4"/>
      <c r="F1885" s="4"/>
      <c r="G1885" s="4"/>
      <c r="H1885" s="4"/>
      <c r="I1885" s="4"/>
      <c r="J1885" s="4"/>
      <c r="K1885" s="4"/>
      <c r="L1885" s="4"/>
      <c r="M1885" s="4"/>
      <c r="N1885" s="4"/>
      <c r="O1885" s="4"/>
      <c r="P1885" s="4"/>
      <c r="Q1885" s="4"/>
      <c r="R1885" s="4"/>
      <c r="S1885" s="4"/>
      <c r="T1885" s="4"/>
      <c r="U1885" s="4"/>
      <c r="V1885" s="4"/>
      <c r="W1885" s="4"/>
      <c r="X1885" s="4"/>
      <c r="Y1885" s="4"/>
      <c r="Z1885" s="4"/>
      <c r="AA1885" s="4"/>
      <c r="AB1885" s="5"/>
    </row>
    <row r="1886" spans="1:28" x14ac:dyDescent="0.35">
      <c r="A1886" s="3"/>
      <c r="B1886" s="4"/>
      <c r="C1886" s="4"/>
      <c r="D1886" s="4"/>
      <c r="E1886" s="4"/>
      <c r="F1886" s="4"/>
      <c r="G1886" s="4"/>
      <c r="H1886" s="4"/>
      <c r="I1886" s="4"/>
      <c r="J1886" s="4"/>
      <c r="K1886" s="4"/>
      <c r="L1886" s="4"/>
      <c r="M1886" s="4"/>
      <c r="N1886" s="4"/>
      <c r="O1886" s="4"/>
      <c r="P1886" s="4"/>
      <c r="Q1886" s="4"/>
      <c r="R1886" s="4"/>
      <c r="S1886" s="4"/>
      <c r="T1886" s="4"/>
      <c r="U1886" s="4"/>
      <c r="V1886" s="4"/>
      <c r="W1886" s="4"/>
      <c r="X1886" s="4"/>
      <c r="Y1886" s="4"/>
      <c r="Z1886" s="4"/>
      <c r="AA1886" s="4"/>
      <c r="AB1886" s="5"/>
    </row>
    <row r="1887" spans="1:28" x14ac:dyDescent="0.35">
      <c r="A1887" s="3"/>
      <c r="B1887" s="4"/>
      <c r="C1887" s="4"/>
      <c r="D1887" s="4"/>
      <c r="E1887" s="4"/>
      <c r="F1887" s="4"/>
      <c r="G1887" s="4"/>
      <c r="H1887" s="4"/>
      <c r="I1887" s="4"/>
      <c r="J1887" s="4"/>
      <c r="K1887" s="4"/>
      <c r="L1887" s="4"/>
      <c r="M1887" s="4"/>
      <c r="N1887" s="4"/>
      <c r="O1887" s="4"/>
      <c r="P1887" s="4"/>
      <c r="Q1887" s="4"/>
      <c r="R1887" s="4"/>
      <c r="S1887" s="4"/>
      <c r="T1887" s="4"/>
      <c r="U1887" s="4"/>
      <c r="V1887" s="4"/>
      <c r="W1887" s="4"/>
      <c r="X1887" s="4"/>
      <c r="Y1887" s="4"/>
      <c r="Z1887" s="4"/>
      <c r="AA1887" s="4"/>
      <c r="AB1887" s="5"/>
    </row>
    <row r="1888" spans="1:28" x14ac:dyDescent="0.35">
      <c r="A1888" s="3"/>
      <c r="B1888" s="4"/>
      <c r="C1888" s="4"/>
      <c r="D1888" s="4"/>
      <c r="E1888" s="4"/>
      <c r="F1888" s="4"/>
      <c r="G1888" s="4"/>
      <c r="H1888" s="4"/>
      <c r="I1888" s="4"/>
      <c r="J1888" s="4"/>
      <c r="K1888" s="4"/>
      <c r="L1888" s="4"/>
      <c r="M1888" s="4"/>
      <c r="N1888" s="4"/>
      <c r="O1888" s="4"/>
      <c r="P1888" s="4"/>
      <c r="Q1888" s="4"/>
      <c r="R1888" s="4"/>
      <c r="S1888" s="4"/>
      <c r="T1888" s="4"/>
      <c r="U1888" s="4"/>
      <c r="V1888" s="4"/>
      <c r="W1888" s="4"/>
      <c r="X1888" s="4"/>
      <c r="Y1888" s="4"/>
      <c r="Z1888" s="4"/>
      <c r="AA1888" s="4"/>
      <c r="AB1888" s="5"/>
    </row>
    <row r="1889" spans="1:28" x14ac:dyDescent="0.35">
      <c r="A1889" s="3"/>
      <c r="B1889" s="4"/>
      <c r="C1889" s="4"/>
      <c r="D1889" s="4"/>
      <c r="E1889" s="4"/>
      <c r="F1889" s="4"/>
      <c r="G1889" s="4"/>
      <c r="H1889" s="4"/>
      <c r="I1889" s="4"/>
      <c r="J1889" s="4"/>
      <c r="K1889" s="4"/>
      <c r="L1889" s="4"/>
      <c r="M1889" s="4"/>
      <c r="N1889" s="4"/>
      <c r="O1889" s="4"/>
      <c r="P1889" s="4"/>
      <c r="Q1889" s="4"/>
      <c r="R1889" s="4"/>
      <c r="S1889" s="4"/>
      <c r="T1889" s="4"/>
      <c r="U1889" s="4"/>
      <c r="V1889" s="4"/>
      <c r="W1889" s="4"/>
      <c r="X1889" s="4"/>
      <c r="Y1889" s="4"/>
      <c r="Z1889" s="4"/>
      <c r="AA1889" s="4"/>
      <c r="AB1889" s="5"/>
    </row>
    <row r="1890" spans="1:28" x14ac:dyDescent="0.35">
      <c r="A1890" s="3"/>
      <c r="B1890" s="4"/>
      <c r="C1890" s="4"/>
      <c r="D1890" s="4"/>
      <c r="E1890" s="4"/>
      <c r="F1890" s="4"/>
      <c r="G1890" s="4"/>
      <c r="H1890" s="4"/>
      <c r="I1890" s="4"/>
      <c r="J1890" s="4"/>
      <c r="K1890" s="4"/>
      <c r="L1890" s="4"/>
      <c r="M1890" s="4"/>
      <c r="N1890" s="4"/>
      <c r="O1890" s="4"/>
      <c r="P1890" s="4"/>
      <c r="Q1890" s="4"/>
      <c r="R1890" s="4"/>
      <c r="S1890" s="4"/>
      <c r="T1890" s="4"/>
      <c r="U1890" s="4"/>
      <c r="V1890" s="4"/>
      <c r="W1890" s="4"/>
      <c r="X1890" s="4"/>
      <c r="Y1890" s="4"/>
      <c r="Z1890" s="4"/>
      <c r="AA1890" s="4"/>
      <c r="AB1890" s="5"/>
    </row>
    <row r="1891" spans="1:28" x14ac:dyDescent="0.35">
      <c r="A1891" s="3"/>
      <c r="B1891" s="4"/>
      <c r="C1891" s="4"/>
      <c r="D1891" s="4"/>
      <c r="E1891" s="4"/>
      <c r="F1891" s="4"/>
      <c r="G1891" s="4"/>
      <c r="H1891" s="4"/>
      <c r="I1891" s="4"/>
      <c r="J1891" s="4"/>
      <c r="K1891" s="4"/>
      <c r="L1891" s="4"/>
      <c r="M1891" s="4"/>
      <c r="N1891" s="4"/>
      <c r="O1891" s="4"/>
      <c r="P1891" s="4"/>
      <c r="Q1891" s="4"/>
      <c r="R1891" s="4"/>
      <c r="S1891" s="4"/>
      <c r="T1891" s="4"/>
      <c r="U1891" s="4"/>
      <c r="V1891" s="4"/>
      <c r="W1891" s="4"/>
      <c r="X1891" s="4"/>
      <c r="Y1891" s="4"/>
      <c r="Z1891" s="4"/>
      <c r="AA1891" s="4"/>
      <c r="AB1891" s="5"/>
    </row>
    <row r="1892" spans="1:28" x14ac:dyDescent="0.35">
      <c r="A1892" s="3"/>
      <c r="B1892" s="4"/>
      <c r="C1892" s="4"/>
      <c r="D1892" s="4"/>
      <c r="E1892" s="4"/>
      <c r="F1892" s="4"/>
      <c r="G1892" s="4"/>
      <c r="H1892" s="4"/>
      <c r="I1892" s="4"/>
      <c r="J1892" s="4"/>
      <c r="K1892" s="4"/>
      <c r="L1892" s="4"/>
      <c r="M1892" s="4"/>
      <c r="N1892" s="4"/>
      <c r="O1892" s="4"/>
      <c r="P1892" s="4"/>
      <c r="Q1892" s="4"/>
      <c r="R1892" s="4"/>
      <c r="S1892" s="4"/>
      <c r="T1892" s="4"/>
      <c r="U1892" s="4"/>
      <c r="V1892" s="4"/>
      <c r="W1892" s="4"/>
      <c r="X1892" s="4"/>
      <c r="Y1892" s="4"/>
      <c r="Z1892" s="4"/>
      <c r="AA1892" s="4"/>
      <c r="AB1892" s="5"/>
    </row>
    <row r="1893" spans="1:28" x14ac:dyDescent="0.35">
      <c r="A1893" s="3"/>
      <c r="B1893" s="4"/>
      <c r="C1893" s="4"/>
      <c r="D1893" s="4"/>
      <c r="E1893" s="4"/>
      <c r="F1893" s="4"/>
      <c r="G1893" s="4"/>
      <c r="H1893" s="4"/>
      <c r="I1893" s="4"/>
      <c r="J1893" s="4"/>
      <c r="K1893" s="4"/>
      <c r="L1893" s="4"/>
      <c r="M1893" s="4"/>
      <c r="N1893" s="4"/>
      <c r="O1893" s="4"/>
      <c r="P1893" s="4"/>
      <c r="Q1893" s="4"/>
      <c r="R1893" s="4"/>
      <c r="S1893" s="4"/>
      <c r="T1893" s="4"/>
      <c r="U1893" s="4"/>
      <c r="V1893" s="4"/>
      <c r="W1893" s="4"/>
      <c r="X1893" s="4"/>
      <c r="Y1893" s="4"/>
      <c r="Z1893" s="4"/>
      <c r="AA1893" s="4"/>
      <c r="AB1893" s="5"/>
    </row>
    <row r="1894" spans="1:28" x14ac:dyDescent="0.35">
      <c r="A1894" s="3"/>
      <c r="B1894" s="4"/>
      <c r="C1894" s="4"/>
      <c r="D1894" s="4"/>
      <c r="E1894" s="4"/>
      <c r="F1894" s="4"/>
      <c r="G1894" s="4"/>
      <c r="H1894" s="4"/>
      <c r="I1894" s="4"/>
      <c r="J1894" s="4"/>
      <c r="K1894" s="4"/>
      <c r="L1894" s="4"/>
      <c r="M1894" s="4"/>
      <c r="N1894" s="4"/>
      <c r="O1894" s="4"/>
      <c r="P1894" s="4"/>
      <c r="Q1894" s="4"/>
      <c r="R1894" s="4"/>
      <c r="S1894" s="4"/>
      <c r="T1894" s="4"/>
      <c r="U1894" s="4"/>
      <c r="V1894" s="4"/>
      <c r="W1894" s="4"/>
      <c r="X1894" s="4"/>
      <c r="Y1894" s="4"/>
      <c r="Z1894" s="4"/>
      <c r="AA1894" s="4"/>
      <c r="AB1894" s="5"/>
    </row>
    <row r="1895" spans="1:28" x14ac:dyDescent="0.35">
      <c r="A1895" s="3"/>
      <c r="B1895" s="4"/>
      <c r="C1895" s="4"/>
      <c r="D1895" s="4"/>
      <c r="E1895" s="4"/>
      <c r="F1895" s="4"/>
      <c r="G1895" s="4"/>
      <c r="H1895" s="4"/>
      <c r="I1895" s="4"/>
      <c r="J1895" s="4"/>
      <c r="K1895" s="4"/>
      <c r="L1895" s="4"/>
      <c r="M1895" s="4"/>
      <c r="N1895" s="4"/>
      <c r="O1895" s="4"/>
      <c r="P1895" s="4"/>
      <c r="Q1895" s="4"/>
      <c r="R1895" s="4"/>
      <c r="S1895" s="4"/>
      <c r="T1895" s="4"/>
      <c r="U1895" s="4"/>
      <c r="V1895" s="4"/>
      <c r="W1895" s="4"/>
      <c r="X1895" s="4"/>
      <c r="Y1895" s="4"/>
      <c r="Z1895" s="4"/>
      <c r="AA1895" s="4"/>
      <c r="AB1895" s="5"/>
    </row>
    <row r="1896" spans="1:28" x14ac:dyDescent="0.35">
      <c r="A1896" s="3"/>
      <c r="B1896" s="4"/>
      <c r="C1896" s="4"/>
      <c r="D1896" s="4"/>
      <c r="E1896" s="4"/>
      <c r="F1896" s="4"/>
      <c r="G1896" s="4"/>
      <c r="H1896" s="4"/>
      <c r="I1896" s="4"/>
      <c r="J1896" s="4"/>
      <c r="K1896" s="4"/>
      <c r="L1896" s="4"/>
      <c r="M1896" s="4"/>
      <c r="N1896" s="4"/>
      <c r="O1896" s="4"/>
      <c r="P1896" s="4"/>
      <c r="Q1896" s="4"/>
      <c r="R1896" s="4"/>
      <c r="S1896" s="4"/>
      <c r="T1896" s="4"/>
      <c r="U1896" s="4"/>
      <c r="V1896" s="4"/>
      <c r="W1896" s="4"/>
      <c r="X1896" s="4"/>
      <c r="Y1896" s="4"/>
      <c r="Z1896" s="4"/>
      <c r="AA1896" s="4"/>
      <c r="AB1896" s="5"/>
    </row>
    <row r="1897" spans="1:28" x14ac:dyDescent="0.35">
      <c r="A1897" s="3"/>
      <c r="B1897" s="4"/>
      <c r="C1897" s="4"/>
      <c r="D1897" s="4"/>
      <c r="E1897" s="4"/>
      <c r="F1897" s="4"/>
      <c r="G1897" s="4"/>
      <c r="H1897" s="4"/>
      <c r="I1897" s="4"/>
      <c r="J1897" s="4"/>
      <c r="K1897" s="4"/>
      <c r="L1897" s="4"/>
      <c r="M1897" s="4"/>
      <c r="N1897" s="4"/>
      <c r="O1897" s="4"/>
      <c r="P1897" s="4"/>
      <c r="Q1897" s="4"/>
      <c r="R1897" s="4"/>
      <c r="S1897" s="4"/>
      <c r="T1897" s="4"/>
      <c r="U1897" s="4"/>
      <c r="V1897" s="4"/>
      <c r="W1897" s="4"/>
      <c r="X1897" s="4"/>
      <c r="Y1897" s="4"/>
      <c r="Z1897" s="4"/>
      <c r="AA1897" s="4"/>
      <c r="AB1897" s="5"/>
    </row>
    <row r="1898" spans="1:28" x14ac:dyDescent="0.35">
      <c r="A1898" s="3"/>
      <c r="B1898" s="4"/>
      <c r="C1898" s="4"/>
      <c r="D1898" s="4"/>
      <c r="E1898" s="4"/>
      <c r="F1898" s="4"/>
      <c r="G1898" s="4"/>
      <c r="H1898" s="4"/>
      <c r="I1898" s="4"/>
      <c r="J1898" s="4"/>
      <c r="K1898" s="4"/>
      <c r="L1898" s="4"/>
      <c r="M1898" s="4"/>
      <c r="N1898" s="4"/>
      <c r="O1898" s="4"/>
      <c r="P1898" s="4"/>
      <c r="Q1898" s="4"/>
      <c r="R1898" s="4"/>
      <c r="S1898" s="4"/>
      <c r="T1898" s="4"/>
      <c r="U1898" s="4"/>
      <c r="V1898" s="4"/>
      <c r="W1898" s="4"/>
      <c r="X1898" s="4"/>
      <c r="Y1898" s="4"/>
      <c r="Z1898" s="4"/>
      <c r="AA1898" s="4"/>
      <c r="AB1898" s="5"/>
    </row>
    <row r="1899" spans="1:28" x14ac:dyDescent="0.35">
      <c r="A1899" s="3"/>
      <c r="B1899" s="4"/>
      <c r="C1899" s="4"/>
      <c r="D1899" s="4"/>
      <c r="E1899" s="4"/>
      <c r="F1899" s="4"/>
      <c r="G1899" s="4"/>
      <c r="H1899" s="4"/>
      <c r="I1899" s="4"/>
      <c r="J1899" s="4"/>
      <c r="K1899" s="4"/>
      <c r="L1899" s="4"/>
      <c r="M1899" s="4"/>
      <c r="N1899" s="4"/>
      <c r="O1899" s="4"/>
      <c r="P1899" s="4"/>
      <c r="Q1899" s="4"/>
      <c r="R1899" s="4"/>
      <c r="S1899" s="4"/>
      <c r="T1899" s="4"/>
      <c r="U1899" s="4"/>
      <c r="V1899" s="4"/>
      <c r="W1899" s="4"/>
      <c r="X1899" s="4"/>
      <c r="Y1899" s="4"/>
      <c r="Z1899" s="4"/>
      <c r="AA1899" s="4"/>
      <c r="AB1899" s="5"/>
    </row>
    <row r="1900" spans="1:28" x14ac:dyDescent="0.35">
      <c r="A1900" s="3"/>
      <c r="B1900" s="4"/>
      <c r="C1900" s="4"/>
      <c r="D1900" s="4"/>
      <c r="E1900" s="4"/>
      <c r="F1900" s="4"/>
      <c r="G1900" s="4"/>
      <c r="H1900" s="4"/>
      <c r="I1900" s="4"/>
      <c r="J1900" s="4"/>
      <c r="K1900" s="4"/>
      <c r="L1900" s="4"/>
      <c r="M1900" s="4"/>
      <c r="N1900" s="4"/>
      <c r="O1900" s="4"/>
      <c r="P1900" s="4"/>
      <c r="Q1900" s="4"/>
      <c r="R1900" s="4"/>
      <c r="S1900" s="4"/>
      <c r="T1900" s="4"/>
      <c r="U1900" s="4"/>
      <c r="V1900" s="4"/>
      <c r="W1900" s="4"/>
      <c r="X1900" s="4"/>
      <c r="Y1900" s="4"/>
      <c r="Z1900" s="4"/>
      <c r="AA1900" s="4"/>
      <c r="AB1900" s="5"/>
    </row>
    <row r="1901" spans="1:28" x14ac:dyDescent="0.35">
      <c r="A1901" s="3"/>
      <c r="B1901" s="4"/>
      <c r="C1901" s="4"/>
      <c r="D1901" s="4"/>
      <c r="E1901" s="4"/>
      <c r="F1901" s="4"/>
      <c r="G1901" s="4"/>
      <c r="H1901" s="4"/>
      <c r="I1901" s="4"/>
      <c r="J1901" s="4"/>
      <c r="K1901" s="4"/>
      <c r="L1901" s="4"/>
      <c r="M1901" s="4"/>
      <c r="N1901" s="4"/>
      <c r="O1901" s="4"/>
      <c r="P1901" s="4"/>
      <c r="Q1901" s="4"/>
      <c r="R1901" s="4"/>
      <c r="S1901" s="4"/>
      <c r="T1901" s="4"/>
      <c r="U1901" s="4"/>
      <c r="V1901" s="4"/>
      <c r="W1901" s="4"/>
      <c r="X1901" s="4"/>
      <c r="Y1901" s="4"/>
      <c r="Z1901" s="4"/>
      <c r="AA1901" s="4"/>
      <c r="AB1901" s="5"/>
    </row>
    <row r="1902" spans="1:28" x14ac:dyDescent="0.35">
      <c r="A1902" s="3"/>
      <c r="B1902" s="4"/>
      <c r="C1902" s="4"/>
      <c r="D1902" s="4"/>
      <c r="E1902" s="4"/>
      <c r="F1902" s="4"/>
      <c r="G1902" s="4"/>
      <c r="H1902" s="4"/>
      <c r="I1902" s="4"/>
      <c r="J1902" s="4"/>
      <c r="K1902" s="4"/>
      <c r="L1902" s="4"/>
      <c r="M1902" s="4"/>
      <c r="N1902" s="4"/>
      <c r="O1902" s="4"/>
      <c r="P1902" s="4"/>
      <c r="Q1902" s="4"/>
      <c r="R1902" s="4"/>
      <c r="S1902" s="4"/>
      <c r="T1902" s="4"/>
      <c r="U1902" s="4"/>
      <c r="V1902" s="4"/>
      <c r="W1902" s="4"/>
      <c r="X1902" s="4"/>
      <c r="Y1902" s="4"/>
      <c r="Z1902" s="4"/>
      <c r="AA1902" s="4"/>
      <c r="AB1902" s="5"/>
    </row>
    <row r="1903" spans="1:28" x14ac:dyDescent="0.35">
      <c r="A1903" s="3"/>
      <c r="B1903" s="4"/>
      <c r="C1903" s="4"/>
      <c r="D1903" s="4"/>
      <c r="E1903" s="4"/>
      <c r="F1903" s="4"/>
      <c r="G1903" s="4"/>
      <c r="H1903" s="4"/>
      <c r="I1903" s="4"/>
      <c r="J1903" s="4"/>
      <c r="K1903" s="4"/>
      <c r="L1903" s="4"/>
      <c r="M1903" s="4"/>
      <c r="N1903" s="4"/>
      <c r="O1903" s="4"/>
      <c r="P1903" s="4"/>
      <c r="Q1903" s="4"/>
      <c r="R1903" s="4"/>
      <c r="S1903" s="4"/>
      <c r="T1903" s="4"/>
      <c r="U1903" s="4"/>
      <c r="V1903" s="4"/>
      <c r="W1903" s="4"/>
      <c r="X1903" s="4"/>
      <c r="Y1903" s="4"/>
      <c r="Z1903" s="4"/>
      <c r="AA1903" s="4"/>
      <c r="AB1903" s="5"/>
    </row>
    <row r="1904" spans="1:28" x14ac:dyDescent="0.35">
      <c r="A1904" s="3"/>
      <c r="B1904" s="4"/>
      <c r="C1904" s="4"/>
      <c r="D1904" s="4"/>
      <c r="E1904" s="4"/>
      <c r="F1904" s="4"/>
      <c r="G1904" s="4"/>
      <c r="H1904" s="4"/>
      <c r="I1904" s="4"/>
      <c r="J1904" s="4"/>
      <c r="K1904" s="4"/>
      <c r="L1904" s="4"/>
      <c r="M1904" s="4"/>
      <c r="N1904" s="4"/>
      <c r="O1904" s="4"/>
      <c r="P1904" s="4"/>
      <c r="Q1904" s="4"/>
      <c r="R1904" s="4"/>
      <c r="S1904" s="4"/>
      <c r="T1904" s="4"/>
      <c r="U1904" s="4"/>
      <c r="V1904" s="4"/>
      <c r="W1904" s="4"/>
      <c r="X1904" s="4"/>
      <c r="Y1904" s="4"/>
      <c r="Z1904" s="4"/>
      <c r="AA1904" s="4"/>
      <c r="AB1904" s="5"/>
    </row>
    <row r="1905" spans="1:28" x14ac:dyDescent="0.35">
      <c r="A1905" s="3"/>
      <c r="B1905" s="4"/>
      <c r="C1905" s="4"/>
      <c r="D1905" s="4"/>
      <c r="E1905" s="4"/>
      <c r="F1905" s="4"/>
      <c r="G1905" s="4"/>
      <c r="H1905" s="4"/>
      <c r="I1905" s="4"/>
      <c r="J1905" s="4"/>
      <c r="K1905" s="4"/>
      <c r="L1905" s="4"/>
      <c r="M1905" s="4"/>
      <c r="N1905" s="4"/>
      <c r="O1905" s="4"/>
      <c r="P1905" s="4"/>
      <c r="Q1905" s="4"/>
      <c r="R1905" s="4"/>
      <c r="S1905" s="4"/>
      <c r="T1905" s="4"/>
      <c r="U1905" s="4"/>
      <c r="V1905" s="4"/>
      <c r="W1905" s="4"/>
      <c r="X1905" s="4"/>
      <c r="Y1905" s="4"/>
      <c r="Z1905" s="4"/>
      <c r="AA1905" s="4"/>
      <c r="AB1905" s="5"/>
    </row>
    <row r="1906" spans="1:28" x14ac:dyDescent="0.35">
      <c r="A1906" s="3"/>
      <c r="B1906" s="4"/>
      <c r="C1906" s="4"/>
      <c r="D1906" s="4"/>
      <c r="E1906" s="4"/>
      <c r="F1906" s="4"/>
      <c r="G1906" s="4"/>
      <c r="H1906" s="4"/>
      <c r="I1906" s="4"/>
      <c r="J1906" s="4"/>
      <c r="K1906" s="4"/>
      <c r="L1906" s="4"/>
      <c r="M1906" s="4"/>
      <c r="N1906" s="4"/>
      <c r="O1906" s="4"/>
      <c r="P1906" s="4"/>
      <c r="Q1906" s="4"/>
      <c r="R1906" s="4"/>
      <c r="S1906" s="4"/>
      <c r="T1906" s="4"/>
      <c r="U1906" s="4"/>
      <c r="V1906" s="4"/>
      <c r="W1906" s="4"/>
      <c r="X1906" s="4"/>
      <c r="Y1906" s="4"/>
      <c r="Z1906" s="4"/>
      <c r="AA1906" s="4"/>
      <c r="AB1906" s="5"/>
    </row>
    <row r="1907" spans="1:28" x14ac:dyDescent="0.35">
      <c r="A1907" s="3"/>
      <c r="B1907" s="4"/>
      <c r="C1907" s="4"/>
      <c r="D1907" s="4"/>
      <c r="E1907" s="4"/>
      <c r="F1907" s="4"/>
      <c r="G1907" s="4"/>
      <c r="H1907" s="4"/>
      <c r="I1907" s="4"/>
      <c r="J1907" s="4"/>
      <c r="K1907" s="4"/>
      <c r="L1907" s="4"/>
      <c r="M1907" s="4"/>
      <c r="N1907" s="4"/>
      <c r="O1907" s="4"/>
      <c r="P1907" s="4"/>
      <c r="Q1907" s="4"/>
      <c r="R1907" s="4"/>
      <c r="S1907" s="4"/>
      <c r="T1907" s="4"/>
      <c r="U1907" s="4"/>
      <c r="V1907" s="4"/>
      <c r="W1907" s="4"/>
      <c r="X1907" s="4"/>
      <c r="Y1907" s="4"/>
      <c r="Z1907" s="4"/>
      <c r="AA1907" s="4"/>
      <c r="AB1907" s="5"/>
    </row>
    <row r="1908" spans="1:28" x14ac:dyDescent="0.35">
      <c r="A1908" s="3"/>
      <c r="B1908" s="4"/>
      <c r="C1908" s="4"/>
      <c r="D1908" s="4"/>
      <c r="E1908" s="4"/>
      <c r="F1908" s="4"/>
      <c r="G1908" s="4"/>
      <c r="H1908" s="4"/>
      <c r="I1908" s="4"/>
      <c r="J1908" s="4"/>
      <c r="K1908" s="4"/>
      <c r="L1908" s="4"/>
      <c r="M1908" s="4"/>
      <c r="N1908" s="4"/>
      <c r="O1908" s="4"/>
      <c r="P1908" s="4"/>
      <c r="Q1908" s="4"/>
      <c r="R1908" s="4"/>
      <c r="S1908" s="4"/>
      <c r="T1908" s="4"/>
      <c r="U1908" s="4"/>
      <c r="V1908" s="4"/>
      <c r="W1908" s="4"/>
      <c r="X1908" s="4"/>
      <c r="Y1908" s="4"/>
      <c r="Z1908" s="4"/>
      <c r="AA1908" s="4"/>
      <c r="AB1908" s="5"/>
    </row>
    <row r="1909" spans="1:28" x14ac:dyDescent="0.35">
      <c r="A1909" s="3"/>
      <c r="B1909" s="4"/>
      <c r="C1909" s="4"/>
      <c r="D1909" s="4"/>
      <c r="E1909" s="4"/>
      <c r="F1909" s="4"/>
      <c r="G1909" s="4"/>
      <c r="H1909" s="4"/>
      <c r="I1909" s="4"/>
      <c r="J1909" s="4"/>
      <c r="K1909" s="4"/>
      <c r="L1909" s="4"/>
      <c r="M1909" s="4"/>
      <c r="N1909" s="4"/>
      <c r="O1909" s="4"/>
      <c r="P1909" s="4"/>
      <c r="Q1909" s="4"/>
      <c r="R1909" s="4"/>
      <c r="S1909" s="4"/>
      <c r="T1909" s="4"/>
      <c r="U1909" s="4"/>
      <c r="V1909" s="4"/>
      <c r="W1909" s="4"/>
      <c r="X1909" s="4"/>
      <c r="Y1909" s="4"/>
      <c r="Z1909" s="4"/>
      <c r="AA1909" s="4"/>
      <c r="AB1909" s="5"/>
    </row>
    <row r="1910" spans="1:28" x14ac:dyDescent="0.35">
      <c r="A1910" s="3"/>
      <c r="B1910" s="4"/>
      <c r="C1910" s="4"/>
      <c r="D1910" s="4"/>
      <c r="E1910" s="4"/>
      <c r="F1910" s="4"/>
      <c r="G1910" s="4"/>
      <c r="H1910" s="4"/>
      <c r="I1910" s="4"/>
      <c r="J1910" s="4"/>
      <c r="K1910" s="4"/>
      <c r="L1910" s="4"/>
      <c r="M1910" s="4"/>
      <c r="N1910" s="4"/>
      <c r="O1910" s="4"/>
      <c r="P1910" s="4"/>
      <c r="Q1910" s="4"/>
      <c r="R1910" s="4"/>
      <c r="S1910" s="4"/>
      <c r="T1910" s="4"/>
      <c r="U1910" s="4"/>
      <c r="V1910" s="4"/>
      <c r="W1910" s="4"/>
      <c r="X1910" s="4"/>
      <c r="Y1910" s="4"/>
      <c r="Z1910" s="4"/>
      <c r="AA1910" s="4"/>
      <c r="AB1910" s="5"/>
    </row>
    <row r="1911" spans="1:28" x14ac:dyDescent="0.35">
      <c r="A1911" s="3"/>
      <c r="B1911" s="4"/>
      <c r="C1911" s="4"/>
      <c r="D1911" s="4"/>
      <c r="E1911" s="4"/>
      <c r="F1911" s="4"/>
      <c r="G1911" s="4"/>
      <c r="H1911" s="4"/>
      <c r="I1911" s="4"/>
      <c r="J1911" s="4"/>
      <c r="K1911" s="4"/>
      <c r="L1911" s="4"/>
      <c r="M1911" s="4"/>
      <c r="N1911" s="4"/>
      <c r="O1911" s="4"/>
      <c r="P1911" s="4"/>
      <c r="Q1911" s="4"/>
      <c r="R1911" s="4"/>
      <c r="S1911" s="4"/>
      <c r="T1911" s="4"/>
      <c r="U1911" s="4"/>
      <c r="V1911" s="4"/>
      <c r="W1911" s="4"/>
      <c r="X1911" s="4"/>
      <c r="Y1911" s="4"/>
      <c r="Z1911" s="4"/>
      <c r="AA1911" s="4"/>
      <c r="AB1911" s="5"/>
    </row>
    <row r="1912" spans="1:28" x14ac:dyDescent="0.35">
      <c r="A1912" s="3"/>
      <c r="B1912" s="4"/>
      <c r="C1912" s="4"/>
      <c r="D1912" s="4"/>
      <c r="E1912" s="4"/>
      <c r="F1912" s="4"/>
      <c r="G1912" s="4"/>
      <c r="H1912" s="4"/>
      <c r="I1912" s="4"/>
      <c r="J1912" s="4"/>
      <c r="K1912" s="4"/>
      <c r="L1912" s="4"/>
      <c r="M1912" s="4"/>
      <c r="N1912" s="4"/>
      <c r="O1912" s="4"/>
      <c r="P1912" s="4"/>
      <c r="Q1912" s="4"/>
      <c r="R1912" s="4"/>
      <c r="S1912" s="4"/>
      <c r="T1912" s="4"/>
      <c r="U1912" s="4"/>
      <c r="V1912" s="4"/>
      <c r="W1912" s="4"/>
      <c r="X1912" s="4"/>
      <c r="Y1912" s="4"/>
      <c r="Z1912" s="4"/>
      <c r="AA1912" s="4"/>
      <c r="AB1912" s="5"/>
    </row>
    <row r="1913" spans="1:28" x14ac:dyDescent="0.35">
      <c r="A1913" s="3"/>
      <c r="B1913" s="4"/>
      <c r="C1913" s="4"/>
      <c r="D1913" s="4"/>
      <c r="E1913" s="4"/>
      <c r="F1913" s="4"/>
      <c r="G1913" s="4"/>
      <c r="H1913" s="4"/>
      <c r="I1913" s="4"/>
      <c r="J1913" s="4"/>
      <c r="K1913" s="4"/>
      <c r="L1913" s="4"/>
      <c r="M1913" s="4"/>
      <c r="N1913" s="4"/>
      <c r="O1913" s="4"/>
      <c r="P1913" s="4"/>
      <c r="Q1913" s="4"/>
      <c r="R1913" s="4"/>
      <c r="S1913" s="4"/>
      <c r="T1913" s="4"/>
      <c r="U1913" s="4"/>
      <c r="V1913" s="4"/>
      <c r="W1913" s="4"/>
      <c r="X1913" s="4"/>
      <c r="Y1913" s="4"/>
      <c r="Z1913" s="4"/>
      <c r="AA1913" s="4"/>
      <c r="AB1913" s="5"/>
    </row>
    <row r="1914" spans="1:28" x14ac:dyDescent="0.35">
      <c r="A1914" s="3"/>
      <c r="B1914" s="4"/>
      <c r="C1914" s="4"/>
      <c r="D1914" s="4"/>
      <c r="E1914" s="4"/>
      <c r="F1914" s="4"/>
      <c r="G1914" s="4"/>
      <c r="H1914" s="4"/>
      <c r="I1914" s="4"/>
      <c r="J1914" s="4"/>
      <c r="K1914" s="4"/>
      <c r="L1914" s="4"/>
      <c r="M1914" s="4"/>
      <c r="N1914" s="4"/>
      <c r="O1914" s="4"/>
      <c r="P1914" s="4"/>
      <c r="Q1914" s="4"/>
      <c r="R1914" s="4"/>
      <c r="S1914" s="4"/>
      <c r="T1914" s="4"/>
      <c r="U1914" s="4"/>
      <c r="V1914" s="4"/>
      <c r="W1914" s="4"/>
      <c r="X1914" s="4"/>
      <c r="Y1914" s="4"/>
      <c r="Z1914" s="4"/>
      <c r="AA1914" s="4"/>
      <c r="AB1914" s="5"/>
    </row>
    <row r="1915" spans="1:28" x14ac:dyDescent="0.35">
      <c r="A1915" s="3"/>
      <c r="B1915" s="4"/>
      <c r="C1915" s="4"/>
      <c r="D1915" s="4"/>
      <c r="E1915" s="4"/>
      <c r="F1915" s="4"/>
      <c r="G1915" s="4"/>
      <c r="H1915" s="4"/>
      <c r="I1915" s="4"/>
      <c r="J1915" s="4"/>
      <c r="K1915" s="4"/>
      <c r="L1915" s="4"/>
      <c r="M1915" s="4"/>
      <c r="N1915" s="4"/>
      <c r="O1915" s="4"/>
      <c r="P1915" s="4"/>
      <c r="Q1915" s="4"/>
      <c r="R1915" s="4"/>
      <c r="S1915" s="4"/>
      <c r="T1915" s="4"/>
      <c r="U1915" s="4"/>
      <c r="V1915" s="4"/>
      <c r="W1915" s="4"/>
      <c r="X1915" s="4"/>
      <c r="Y1915" s="4"/>
      <c r="Z1915" s="4"/>
      <c r="AA1915" s="4"/>
      <c r="AB1915" s="5"/>
    </row>
    <row r="1916" spans="1:28" x14ac:dyDescent="0.35">
      <c r="A1916" s="3"/>
      <c r="B1916" s="4"/>
      <c r="C1916" s="4"/>
      <c r="D1916" s="4"/>
      <c r="E1916" s="4"/>
      <c r="F1916" s="4"/>
      <c r="G1916" s="4"/>
      <c r="H1916" s="4"/>
      <c r="I1916" s="4"/>
      <c r="J1916" s="4"/>
      <c r="K1916" s="4"/>
      <c r="L1916" s="4"/>
      <c r="M1916" s="4"/>
      <c r="N1916" s="4"/>
      <c r="O1916" s="4"/>
      <c r="P1916" s="4"/>
      <c r="Q1916" s="4"/>
      <c r="R1916" s="4"/>
      <c r="S1916" s="4"/>
      <c r="T1916" s="4"/>
      <c r="U1916" s="4"/>
      <c r="V1916" s="4"/>
      <c r="W1916" s="4"/>
      <c r="X1916" s="4"/>
      <c r="Y1916" s="4"/>
      <c r="Z1916" s="4"/>
      <c r="AA1916" s="4"/>
      <c r="AB1916" s="5"/>
    </row>
    <row r="1917" spans="1:28" x14ac:dyDescent="0.35">
      <c r="A1917" s="3"/>
      <c r="B1917" s="4"/>
      <c r="C1917" s="4"/>
      <c r="D1917" s="4"/>
      <c r="E1917" s="4"/>
      <c r="F1917" s="4"/>
      <c r="G1917" s="4"/>
      <c r="H1917" s="4"/>
      <c r="I1917" s="4"/>
      <c r="J1917" s="4"/>
      <c r="K1917" s="4"/>
      <c r="L1917" s="4"/>
      <c r="M1917" s="4"/>
      <c r="N1917" s="4"/>
      <c r="O1917" s="4"/>
      <c r="P1917" s="4"/>
      <c r="Q1917" s="4"/>
      <c r="R1917" s="4"/>
      <c r="S1917" s="4"/>
      <c r="T1917" s="4"/>
      <c r="U1917" s="4"/>
      <c r="V1917" s="4"/>
      <c r="W1917" s="4"/>
      <c r="X1917" s="4"/>
      <c r="Y1917" s="4"/>
      <c r="Z1917" s="4"/>
      <c r="AA1917" s="4"/>
      <c r="AB1917" s="5"/>
    </row>
    <row r="1918" spans="1:28" x14ac:dyDescent="0.35">
      <c r="A1918" s="3"/>
      <c r="B1918" s="4"/>
      <c r="C1918" s="4"/>
      <c r="D1918" s="4"/>
      <c r="E1918" s="4"/>
      <c r="F1918" s="4"/>
      <c r="G1918" s="4"/>
      <c r="H1918" s="4"/>
      <c r="I1918" s="4"/>
      <c r="J1918" s="4"/>
      <c r="K1918" s="4"/>
      <c r="L1918" s="4"/>
      <c r="M1918" s="4"/>
      <c r="N1918" s="4"/>
      <c r="O1918" s="4"/>
      <c r="P1918" s="4"/>
      <c r="Q1918" s="4"/>
      <c r="R1918" s="4"/>
      <c r="S1918" s="4"/>
      <c r="T1918" s="4"/>
      <c r="U1918" s="4"/>
      <c r="V1918" s="4"/>
      <c r="W1918" s="4"/>
      <c r="X1918" s="4"/>
      <c r="Y1918" s="4"/>
      <c r="Z1918" s="4"/>
      <c r="AA1918" s="4"/>
      <c r="AB1918" s="5"/>
    </row>
    <row r="1919" spans="1:28" x14ac:dyDescent="0.35">
      <c r="A1919" s="3"/>
      <c r="B1919" s="4"/>
      <c r="C1919" s="4"/>
      <c r="D1919" s="4"/>
      <c r="E1919" s="4"/>
      <c r="F1919" s="4"/>
      <c r="G1919" s="4"/>
      <c r="H1919" s="4"/>
      <c r="I1919" s="4"/>
      <c r="J1919" s="4"/>
      <c r="K1919" s="4"/>
      <c r="L1919" s="4"/>
      <c r="M1919" s="4"/>
      <c r="N1919" s="4"/>
      <c r="O1919" s="4"/>
      <c r="P1919" s="4"/>
      <c r="Q1919" s="4"/>
      <c r="R1919" s="4"/>
      <c r="S1919" s="4"/>
      <c r="T1919" s="4"/>
      <c r="U1919" s="4"/>
      <c r="V1919" s="4"/>
      <c r="W1919" s="4"/>
      <c r="X1919" s="4"/>
      <c r="Y1919" s="4"/>
      <c r="Z1919" s="4"/>
      <c r="AA1919" s="4"/>
      <c r="AB1919" s="5"/>
    </row>
    <row r="1920" spans="1:28" x14ac:dyDescent="0.35">
      <c r="A1920" s="3"/>
      <c r="B1920" s="4"/>
      <c r="C1920" s="4"/>
      <c r="D1920" s="4"/>
      <c r="E1920" s="4"/>
      <c r="F1920" s="4"/>
      <c r="G1920" s="4"/>
      <c r="H1920" s="4"/>
      <c r="I1920" s="4"/>
      <c r="J1920" s="4"/>
      <c r="K1920" s="4"/>
      <c r="L1920" s="4"/>
      <c r="M1920" s="4"/>
      <c r="N1920" s="4"/>
      <c r="O1920" s="4"/>
      <c r="P1920" s="4"/>
      <c r="Q1920" s="4"/>
      <c r="R1920" s="4"/>
      <c r="S1920" s="4"/>
      <c r="T1920" s="4"/>
      <c r="U1920" s="4"/>
      <c r="V1920" s="4"/>
      <c r="W1920" s="4"/>
      <c r="X1920" s="4"/>
      <c r="Y1920" s="4"/>
      <c r="Z1920" s="4"/>
      <c r="AA1920" s="4"/>
      <c r="AB1920" s="5"/>
    </row>
    <row r="1921" spans="1:28" x14ac:dyDescent="0.35">
      <c r="A1921" s="3"/>
      <c r="B1921" s="4"/>
      <c r="C1921" s="4"/>
      <c r="D1921" s="4"/>
      <c r="E1921" s="4"/>
      <c r="F1921" s="4"/>
      <c r="G1921" s="4"/>
      <c r="H1921" s="4"/>
      <c r="I1921" s="4"/>
      <c r="J1921" s="4"/>
      <c r="K1921" s="4"/>
      <c r="L1921" s="4"/>
      <c r="M1921" s="4"/>
      <c r="N1921" s="4"/>
      <c r="O1921" s="4"/>
      <c r="P1921" s="4"/>
      <c r="Q1921" s="4"/>
      <c r="R1921" s="4"/>
      <c r="S1921" s="4"/>
      <c r="T1921" s="4"/>
      <c r="U1921" s="4"/>
      <c r="V1921" s="4"/>
      <c r="W1921" s="4"/>
      <c r="X1921" s="4"/>
      <c r="Y1921" s="4"/>
      <c r="Z1921" s="4"/>
      <c r="AA1921" s="4"/>
      <c r="AB1921" s="5"/>
    </row>
    <row r="1922" spans="1:28" x14ac:dyDescent="0.35">
      <c r="A1922" s="3"/>
      <c r="B1922" s="4"/>
      <c r="C1922" s="4"/>
      <c r="D1922" s="4"/>
      <c r="E1922" s="4"/>
      <c r="F1922" s="4"/>
      <c r="G1922" s="4"/>
      <c r="H1922" s="4"/>
      <c r="I1922" s="4"/>
      <c r="J1922" s="4"/>
      <c r="K1922" s="4"/>
      <c r="L1922" s="4"/>
      <c r="M1922" s="4"/>
      <c r="N1922" s="4"/>
      <c r="O1922" s="4"/>
      <c r="P1922" s="4"/>
      <c r="Q1922" s="4"/>
      <c r="R1922" s="4"/>
      <c r="S1922" s="4"/>
      <c r="T1922" s="4"/>
      <c r="U1922" s="4"/>
      <c r="V1922" s="4"/>
      <c r="W1922" s="4"/>
      <c r="X1922" s="4"/>
      <c r="Y1922" s="4"/>
      <c r="Z1922" s="4"/>
      <c r="AA1922" s="4"/>
      <c r="AB1922" s="5"/>
    </row>
    <row r="1923" spans="1:28" x14ac:dyDescent="0.35">
      <c r="A1923" s="3"/>
      <c r="B1923" s="4"/>
      <c r="C1923" s="4"/>
      <c r="D1923" s="4"/>
      <c r="E1923" s="4"/>
      <c r="F1923" s="4"/>
      <c r="G1923" s="4"/>
      <c r="H1923" s="4"/>
      <c r="I1923" s="4"/>
      <c r="J1923" s="4"/>
      <c r="K1923" s="4"/>
      <c r="L1923" s="4"/>
      <c r="M1923" s="4"/>
      <c r="N1923" s="4"/>
      <c r="O1923" s="4"/>
      <c r="P1923" s="4"/>
      <c r="Q1923" s="4"/>
      <c r="R1923" s="4"/>
      <c r="S1923" s="4"/>
      <c r="T1923" s="4"/>
      <c r="U1923" s="4"/>
      <c r="V1923" s="4"/>
      <c r="W1923" s="4"/>
      <c r="X1923" s="4"/>
      <c r="Y1923" s="4"/>
      <c r="Z1923" s="4"/>
      <c r="AA1923" s="4"/>
      <c r="AB1923" s="5"/>
    </row>
    <row r="1924" spans="1:28" x14ac:dyDescent="0.35">
      <c r="A1924" s="3"/>
      <c r="B1924" s="4"/>
      <c r="C1924" s="4"/>
      <c r="D1924" s="4"/>
      <c r="E1924" s="4"/>
      <c r="F1924" s="4"/>
      <c r="G1924" s="4"/>
      <c r="H1924" s="4"/>
      <c r="I1924" s="4"/>
      <c r="J1924" s="4"/>
      <c r="K1924" s="4"/>
      <c r="L1924" s="4"/>
      <c r="M1924" s="4"/>
      <c r="N1924" s="4"/>
      <c r="O1924" s="4"/>
      <c r="P1924" s="4"/>
      <c r="Q1924" s="4"/>
      <c r="R1924" s="4"/>
      <c r="S1924" s="4"/>
      <c r="T1924" s="4"/>
      <c r="U1924" s="4"/>
      <c r="V1924" s="4"/>
      <c r="W1924" s="4"/>
      <c r="X1924" s="4"/>
      <c r="Y1924" s="4"/>
      <c r="Z1924" s="4"/>
      <c r="AA1924" s="4"/>
      <c r="AB1924" s="5"/>
    </row>
    <row r="1925" spans="1:28" x14ac:dyDescent="0.35">
      <c r="A1925" s="3"/>
      <c r="B1925" s="4"/>
      <c r="C1925" s="4"/>
      <c r="D1925" s="4"/>
      <c r="E1925" s="4"/>
      <c r="F1925" s="4"/>
      <c r="G1925" s="4"/>
      <c r="H1925" s="4"/>
      <c r="I1925" s="4"/>
      <c r="J1925" s="4"/>
      <c r="K1925" s="4"/>
      <c r="L1925" s="4"/>
      <c r="M1925" s="4"/>
      <c r="N1925" s="4"/>
      <c r="O1925" s="4"/>
      <c r="P1925" s="4"/>
      <c r="Q1925" s="4"/>
      <c r="R1925" s="4"/>
      <c r="S1925" s="4"/>
      <c r="T1925" s="4"/>
      <c r="U1925" s="4"/>
      <c r="V1925" s="4"/>
      <c r="W1925" s="4"/>
      <c r="X1925" s="4"/>
      <c r="Y1925" s="4"/>
      <c r="Z1925" s="4"/>
      <c r="AA1925" s="4"/>
      <c r="AB1925" s="5"/>
    </row>
    <row r="1926" spans="1:28" x14ac:dyDescent="0.35">
      <c r="A1926" s="3"/>
      <c r="B1926" s="4"/>
      <c r="C1926" s="4"/>
      <c r="D1926" s="4"/>
      <c r="E1926" s="4"/>
      <c r="F1926" s="4"/>
      <c r="G1926" s="4"/>
      <c r="H1926" s="4"/>
      <c r="I1926" s="4"/>
      <c r="J1926" s="4"/>
      <c r="K1926" s="4"/>
      <c r="L1926" s="4"/>
      <c r="M1926" s="4"/>
      <c r="N1926" s="4"/>
      <c r="O1926" s="4"/>
      <c r="P1926" s="4"/>
      <c r="Q1926" s="4"/>
      <c r="R1926" s="4"/>
      <c r="S1926" s="4"/>
      <c r="T1926" s="4"/>
      <c r="U1926" s="4"/>
      <c r="V1926" s="4"/>
      <c r="W1926" s="4"/>
      <c r="X1926" s="4"/>
      <c r="Y1926" s="4"/>
      <c r="Z1926" s="4"/>
      <c r="AA1926" s="4"/>
      <c r="AB1926" s="5"/>
    </row>
    <row r="1927" spans="1:28" x14ac:dyDescent="0.35">
      <c r="A1927" s="3"/>
      <c r="B1927" s="4"/>
      <c r="C1927" s="4"/>
      <c r="D1927" s="4"/>
      <c r="E1927" s="4"/>
      <c r="F1927" s="4"/>
      <c r="G1927" s="4"/>
      <c r="H1927" s="4"/>
      <c r="I1927" s="4"/>
      <c r="J1927" s="4"/>
      <c r="K1927" s="4"/>
      <c r="L1927" s="4"/>
      <c r="M1927" s="4"/>
      <c r="N1927" s="4"/>
      <c r="O1927" s="4"/>
      <c r="P1927" s="4"/>
      <c r="Q1927" s="4"/>
      <c r="R1927" s="4"/>
      <c r="S1927" s="4"/>
      <c r="T1927" s="4"/>
      <c r="U1927" s="4"/>
      <c r="V1927" s="4"/>
      <c r="W1927" s="4"/>
      <c r="X1927" s="4"/>
      <c r="Y1927" s="4"/>
      <c r="Z1927" s="4"/>
      <c r="AA1927" s="4"/>
      <c r="AB1927" s="5"/>
    </row>
    <row r="1928" spans="1:28" x14ac:dyDescent="0.35">
      <c r="A1928" s="3"/>
      <c r="B1928" s="4"/>
      <c r="C1928" s="4"/>
      <c r="D1928" s="4"/>
      <c r="E1928" s="4"/>
      <c r="F1928" s="4"/>
      <c r="G1928" s="4"/>
      <c r="H1928" s="4"/>
      <c r="I1928" s="4"/>
      <c r="J1928" s="4"/>
      <c r="K1928" s="4"/>
      <c r="L1928" s="4"/>
      <c r="M1928" s="4"/>
      <c r="N1928" s="4"/>
      <c r="O1928" s="4"/>
      <c r="P1928" s="4"/>
      <c r="Q1928" s="4"/>
      <c r="R1928" s="4"/>
      <c r="S1928" s="4"/>
      <c r="T1928" s="4"/>
      <c r="U1928" s="4"/>
      <c r="V1928" s="4"/>
      <c r="W1928" s="4"/>
      <c r="X1928" s="4"/>
      <c r="Y1928" s="4"/>
      <c r="Z1928" s="4"/>
      <c r="AA1928" s="4"/>
      <c r="AB1928" s="5"/>
    </row>
    <row r="1929" spans="1:28" x14ac:dyDescent="0.35">
      <c r="A1929" s="3"/>
      <c r="B1929" s="4"/>
      <c r="C1929" s="4"/>
      <c r="D1929" s="4"/>
      <c r="E1929" s="4"/>
      <c r="F1929" s="4"/>
      <c r="G1929" s="4"/>
      <c r="H1929" s="4"/>
      <c r="I1929" s="4"/>
      <c r="J1929" s="4"/>
      <c r="K1929" s="4"/>
      <c r="L1929" s="4"/>
      <c r="M1929" s="4"/>
      <c r="N1929" s="4"/>
      <c r="O1929" s="4"/>
      <c r="P1929" s="4"/>
      <c r="Q1929" s="4"/>
      <c r="R1929" s="4"/>
      <c r="S1929" s="4"/>
      <c r="T1929" s="4"/>
      <c r="U1929" s="4"/>
      <c r="V1929" s="4"/>
      <c r="W1929" s="4"/>
      <c r="X1929" s="4"/>
      <c r="Y1929" s="4"/>
      <c r="Z1929" s="4"/>
      <c r="AA1929" s="4"/>
      <c r="AB1929" s="5"/>
    </row>
    <row r="1930" spans="1:28" x14ac:dyDescent="0.35">
      <c r="A1930" s="3"/>
      <c r="B1930" s="4"/>
      <c r="C1930" s="4"/>
      <c r="D1930" s="4"/>
      <c r="E1930" s="4"/>
      <c r="F1930" s="4"/>
      <c r="G1930" s="4"/>
      <c r="H1930" s="4"/>
      <c r="I1930" s="4"/>
      <c r="J1930" s="4"/>
      <c r="K1930" s="4"/>
      <c r="L1930" s="4"/>
      <c r="M1930" s="4"/>
      <c r="N1930" s="4"/>
      <c r="O1930" s="4"/>
      <c r="P1930" s="4"/>
      <c r="Q1930" s="4"/>
      <c r="R1930" s="4"/>
      <c r="S1930" s="4"/>
      <c r="T1930" s="4"/>
      <c r="U1930" s="4"/>
      <c r="V1930" s="4"/>
      <c r="W1930" s="4"/>
      <c r="X1930" s="4"/>
      <c r="Y1930" s="4"/>
      <c r="Z1930" s="4"/>
      <c r="AA1930" s="4"/>
      <c r="AB1930" s="5"/>
    </row>
    <row r="1931" spans="1:28" x14ac:dyDescent="0.35">
      <c r="A1931" s="3"/>
      <c r="B1931" s="4"/>
      <c r="C1931" s="4"/>
      <c r="D1931" s="4"/>
      <c r="E1931" s="4"/>
      <c r="F1931" s="4"/>
      <c r="G1931" s="4"/>
      <c r="H1931" s="4"/>
      <c r="I1931" s="4"/>
      <c r="J1931" s="4"/>
      <c r="K1931" s="4"/>
      <c r="L1931" s="4"/>
      <c r="M1931" s="4"/>
      <c r="N1931" s="4"/>
      <c r="O1931" s="4"/>
      <c r="P1931" s="4"/>
      <c r="Q1931" s="4"/>
      <c r="R1931" s="4"/>
      <c r="S1931" s="4"/>
      <c r="T1931" s="4"/>
      <c r="U1931" s="4"/>
      <c r="V1931" s="4"/>
      <c r="W1931" s="4"/>
      <c r="X1931" s="4"/>
      <c r="Y1931" s="4"/>
      <c r="Z1931" s="4"/>
      <c r="AA1931" s="4"/>
      <c r="AB1931" s="5"/>
    </row>
    <row r="1932" spans="1:28" x14ac:dyDescent="0.35">
      <c r="A1932" s="3"/>
      <c r="B1932" s="4"/>
      <c r="C1932" s="4"/>
      <c r="D1932" s="4"/>
      <c r="E1932" s="4"/>
      <c r="F1932" s="4"/>
      <c r="G1932" s="4"/>
      <c r="H1932" s="4"/>
      <c r="I1932" s="4"/>
      <c r="J1932" s="4"/>
      <c r="K1932" s="4"/>
      <c r="L1932" s="4"/>
      <c r="M1932" s="4"/>
      <c r="N1932" s="4"/>
      <c r="O1932" s="4"/>
      <c r="P1932" s="4"/>
      <c r="Q1932" s="4"/>
      <c r="R1932" s="4"/>
      <c r="S1932" s="4"/>
      <c r="T1932" s="4"/>
      <c r="U1932" s="4"/>
      <c r="V1932" s="4"/>
      <c r="W1932" s="4"/>
      <c r="X1932" s="4"/>
      <c r="Y1932" s="4"/>
      <c r="Z1932" s="4"/>
      <c r="AA1932" s="4"/>
      <c r="AB1932" s="5"/>
    </row>
    <row r="1933" spans="1:28" x14ac:dyDescent="0.35">
      <c r="A1933" s="3"/>
      <c r="B1933" s="4"/>
      <c r="C1933" s="4"/>
      <c r="D1933" s="4"/>
      <c r="E1933" s="4"/>
      <c r="F1933" s="4"/>
      <c r="G1933" s="4"/>
      <c r="H1933" s="4"/>
      <c r="I1933" s="4"/>
      <c r="J1933" s="4"/>
      <c r="K1933" s="4"/>
      <c r="L1933" s="4"/>
      <c r="M1933" s="4"/>
      <c r="N1933" s="4"/>
      <c r="O1933" s="4"/>
      <c r="P1933" s="4"/>
      <c r="Q1933" s="4"/>
      <c r="R1933" s="4"/>
      <c r="S1933" s="4"/>
      <c r="T1933" s="4"/>
      <c r="U1933" s="4"/>
      <c r="V1933" s="4"/>
      <c r="W1933" s="4"/>
      <c r="X1933" s="4"/>
      <c r="Y1933" s="4"/>
      <c r="Z1933" s="4"/>
      <c r="AA1933" s="4"/>
      <c r="AB1933" s="5"/>
    </row>
    <row r="1934" spans="1:28" x14ac:dyDescent="0.35">
      <c r="A1934" s="3"/>
      <c r="B1934" s="4"/>
      <c r="C1934" s="4"/>
      <c r="D1934" s="4"/>
      <c r="E1934" s="4"/>
      <c r="F1934" s="4"/>
      <c r="G1934" s="4"/>
      <c r="H1934" s="4"/>
      <c r="I1934" s="4"/>
      <c r="J1934" s="4"/>
      <c r="K1934" s="4"/>
      <c r="L1934" s="4"/>
      <c r="M1934" s="4"/>
      <c r="N1934" s="4"/>
      <c r="O1934" s="4"/>
      <c r="P1934" s="4"/>
      <c r="Q1934" s="4"/>
      <c r="R1934" s="4"/>
      <c r="S1934" s="4"/>
      <c r="T1934" s="4"/>
      <c r="U1934" s="4"/>
      <c r="V1934" s="4"/>
      <c r="W1934" s="4"/>
      <c r="X1934" s="4"/>
      <c r="Y1934" s="4"/>
      <c r="Z1934" s="4"/>
      <c r="AA1934" s="4"/>
      <c r="AB1934" s="5"/>
    </row>
    <row r="1935" spans="1:28" x14ac:dyDescent="0.35">
      <c r="A1935" s="3"/>
      <c r="B1935" s="4"/>
      <c r="C1935" s="4"/>
      <c r="D1935" s="4"/>
      <c r="E1935" s="4"/>
      <c r="F1935" s="4"/>
      <c r="G1935" s="4"/>
      <c r="H1935" s="4"/>
      <c r="I1935" s="4"/>
      <c r="J1935" s="4"/>
      <c r="K1935" s="4"/>
      <c r="L1935" s="4"/>
      <c r="M1935" s="4"/>
      <c r="N1935" s="4"/>
      <c r="O1935" s="4"/>
      <c r="P1935" s="4"/>
      <c r="Q1935" s="4"/>
      <c r="R1935" s="4"/>
      <c r="S1935" s="4"/>
      <c r="T1935" s="4"/>
      <c r="U1935" s="4"/>
      <c r="V1935" s="4"/>
      <c r="W1935" s="4"/>
      <c r="X1935" s="4"/>
      <c r="Y1935" s="4"/>
      <c r="Z1935" s="4"/>
      <c r="AA1935" s="4"/>
      <c r="AB1935" s="5"/>
    </row>
    <row r="1936" spans="1:28" x14ac:dyDescent="0.35">
      <c r="A1936" s="3"/>
      <c r="B1936" s="4"/>
      <c r="C1936" s="4"/>
      <c r="D1936" s="4"/>
      <c r="E1936" s="4"/>
      <c r="F1936" s="4"/>
      <c r="G1936" s="4"/>
      <c r="H1936" s="4"/>
      <c r="I1936" s="4"/>
      <c r="J1936" s="4"/>
      <c r="K1936" s="4"/>
      <c r="L1936" s="4"/>
      <c r="M1936" s="4"/>
      <c r="N1936" s="4"/>
      <c r="O1936" s="4"/>
      <c r="P1936" s="4"/>
      <c r="Q1936" s="4"/>
      <c r="R1936" s="4"/>
      <c r="S1936" s="4"/>
      <c r="T1936" s="4"/>
      <c r="U1936" s="4"/>
      <c r="V1936" s="4"/>
      <c r="W1936" s="4"/>
      <c r="X1936" s="4"/>
      <c r="Y1936" s="4"/>
      <c r="Z1936" s="4"/>
      <c r="AA1936" s="4"/>
      <c r="AB1936" s="5"/>
    </row>
    <row r="1937" spans="1:28" x14ac:dyDescent="0.35">
      <c r="A1937" s="3"/>
      <c r="B1937" s="4"/>
      <c r="C1937" s="4"/>
      <c r="D1937" s="4"/>
      <c r="E1937" s="4"/>
      <c r="F1937" s="4"/>
      <c r="G1937" s="4"/>
      <c r="H1937" s="4"/>
      <c r="I1937" s="4"/>
      <c r="J1937" s="4"/>
      <c r="K1937" s="4"/>
      <c r="L1937" s="4"/>
      <c r="M1937" s="4"/>
      <c r="N1937" s="4"/>
      <c r="O1937" s="4"/>
      <c r="P1937" s="4"/>
      <c r="Q1937" s="4"/>
      <c r="R1937" s="4"/>
      <c r="S1937" s="4"/>
      <c r="T1937" s="4"/>
      <c r="U1937" s="4"/>
      <c r="V1937" s="4"/>
      <c r="W1937" s="4"/>
      <c r="X1937" s="4"/>
      <c r="Y1937" s="4"/>
      <c r="Z1937" s="4"/>
      <c r="AA1937" s="4"/>
      <c r="AB1937" s="5"/>
    </row>
    <row r="1938" spans="1:28" x14ac:dyDescent="0.35">
      <c r="A1938" s="3"/>
      <c r="B1938" s="4"/>
      <c r="C1938" s="4"/>
      <c r="D1938" s="4"/>
      <c r="E1938" s="4"/>
      <c r="F1938" s="4"/>
      <c r="G1938" s="4"/>
      <c r="H1938" s="4"/>
      <c r="I1938" s="4"/>
      <c r="J1938" s="4"/>
      <c r="K1938" s="4"/>
      <c r="L1938" s="4"/>
      <c r="M1938" s="4"/>
      <c r="N1938" s="4"/>
      <c r="O1938" s="4"/>
      <c r="P1938" s="4"/>
      <c r="Q1938" s="4"/>
      <c r="R1938" s="4"/>
      <c r="S1938" s="4"/>
      <c r="T1938" s="4"/>
      <c r="U1938" s="4"/>
      <c r="V1938" s="4"/>
      <c r="W1938" s="4"/>
      <c r="X1938" s="4"/>
      <c r="Y1938" s="4"/>
      <c r="Z1938" s="4"/>
      <c r="AA1938" s="4"/>
      <c r="AB1938" s="5"/>
    </row>
    <row r="1939" spans="1:28" x14ac:dyDescent="0.35">
      <c r="A1939" s="3"/>
      <c r="B1939" s="4"/>
      <c r="C1939" s="4"/>
      <c r="D1939" s="4"/>
      <c r="E1939" s="4"/>
      <c r="F1939" s="4"/>
      <c r="G1939" s="4"/>
      <c r="H1939" s="4"/>
      <c r="I1939" s="4"/>
      <c r="J1939" s="4"/>
      <c r="K1939" s="4"/>
      <c r="L1939" s="4"/>
      <c r="M1939" s="4"/>
      <c r="N1939" s="4"/>
      <c r="O1939" s="4"/>
      <c r="P1939" s="4"/>
      <c r="Q1939" s="4"/>
      <c r="R1939" s="4"/>
      <c r="S1939" s="4"/>
      <c r="T1939" s="4"/>
      <c r="U1939" s="4"/>
      <c r="V1939" s="4"/>
      <c r="W1939" s="4"/>
      <c r="X1939" s="4"/>
      <c r="Y1939" s="4"/>
      <c r="Z1939" s="4"/>
      <c r="AA1939" s="4"/>
      <c r="AB1939" s="5"/>
    </row>
    <row r="1940" spans="1:28" x14ac:dyDescent="0.35">
      <c r="A1940" s="3"/>
      <c r="B1940" s="4"/>
      <c r="C1940" s="4"/>
      <c r="D1940" s="4"/>
      <c r="E1940" s="4"/>
      <c r="F1940" s="4"/>
      <c r="G1940" s="4"/>
      <c r="H1940" s="4"/>
      <c r="I1940" s="4"/>
      <c r="J1940" s="4"/>
      <c r="K1940" s="4"/>
      <c r="L1940" s="4"/>
      <c r="M1940" s="4"/>
      <c r="N1940" s="4"/>
      <c r="O1940" s="4"/>
      <c r="P1940" s="4"/>
      <c r="Q1940" s="4"/>
      <c r="R1940" s="4"/>
      <c r="S1940" s="4"/>
      <c r="T1940" s="4"/>
      <c r="U1940" s="4"/>
      <c r="V1940" s="4"/>
      <c r="W1940" s="4"/>
      <c r="X1940" s="4"/>
      <c r="Y1940" s="4"/>
      <c r="Z1940" s="4"/>
      <c r="AA1940" s="4"/>
      <c r="AB1940" s="5"/>
    </row>
    <row r="1941" spans="1:28" x14ac:dyDescent="0.35">
      <c r="A1941" s="3"/>
      <c r="B1941" s="4"/>
      <c r="C1941" s="4"/>
      <c r="D1941" s="4"/>
      <c r="E1941" s="4"/>
      <c r="F1941" s="4"/>
      <c r="G1941" s="4"/>
      <c r="H1941" s="4"/>
      <c r="I1941" s="4"/>
      <c r="J1941" s="4"/>
      <c r="K1941" s="4"/>
      <c r="L1941" s="4"/>
      <c r="M1941" s="4"/>
      <c r="N1941" s="4"/>
      <c r="O1941" s="4"/>
      <c r="P1941" s="4"/>
      <c r="Q1941" s="4"/>
      <c r="R1941" s="4"/>
      <c r="S1941" s="4"/>
      <c r="T1941" s="4"/>
      <c r="U1941" s="4"/>
      <c r="V1941" s="4"/>
      <c r="W1941" s="4"/>
      <c r="X1941" s="4"/>
      <c r="Y1941" s="4"/>
      <c r="Z1941" s="4"/>
      <c r="AA1941" s="4"/>
      <c r="AB1941" s="5"/>
    </row>
    <row r="1942" spans="1:28" x14ac:dyDescent="0.35">
      <c r="A1942" s="3"/>
      <c r="B1942" s="4"/>
      <c r="C1942" s="4"/>
      <c r="D1942" s="4"/>
      <c r="E1942" s="4"/>
      <c r="F1942" s="4"/>
      <c r="G1942" s="4"/>
      <c r="H1942" s="4"/>
      <c r="I1942" s="4"/>
      <c r="J1942" s="4"/>
      <c r="K1942" s="4"/>
      <c r="L1942" s="4"/>
      <c r="M1942" s="4"/>
      <c r="N1942" s="4"/>
      <c r="O1942" s="4"/>
      <c r="P1942" s="4"/>
      <c r="Q1942" s="4"/>
      <c r="R1942" s="4"/>
      <c r="S1942" s="4"/>
      <c r="T1942" s="4"/>
      <c r="U1942" s="4"/>
      <c r="V1942" s="4"/>
      <c r="W1942" s="4"/>
      <c r="X1942" s="4"/>
      <c r="Y1942" s="4"/>
      <c r="Z1942" s="4"/>
      <c r="AA1942" s="4"/>
      <c r="AB1942" s="5"/>
    </row>
    <row r="1943" spans="1:28" x14ac:dyDescent="0.35">
      <c r="A1943" s="3"/>
      <c r="B1943" s="4"/>
      <c r="C1943" s="4"/>
      <c r="D1943" s="4"/>
      <c r="E1943" s="4"/>
      <c r="F1943" s="4"/>
      <c r="G1943" s="4"/>
      <c r="H1943" s="4"/>
      <c r="I1943" s="4"/>
      <c r="J1943" s="4"/>
      <c r="K1943" s="4"/>
      <c r="L1943" s="4"/>
      <c r="M1943" s="4"/>
      <c r="N1943" s="4"/>
      <c r="O1943" s="4"/>
      <c r="P1943" s="4"/>
      <c r="Q1943" s="4"/>
      <c r="R1943" s="4"/>
      <c r="S1943" s="4"/>
      <c r="T1943" s="4"/>
      <c r="U1943" s="4"/>
      <c r="V1943" s="4"/>
      <c r="W1943" s="4"/>
      <c r="X1943" s="4"/>
      <c r="Y1943" s="4"/>
      <c r="Z1943" s="4"/>
      <c r="AA1943" s="4"/>
      <c r="AB1943" s="5"/>
    </row>
    <row r="1944" spans="1:28" x14ac:dyDescent="0.35">
      <c r="A1944" s="3"/>
      <c r="B1944" s="4"/>
      <c r="C1944" s="4"/>
      <c r="D1944" s="4"/>
      <c r="E1944" s="4"/>
      <c r="F1944" s="4"/>
      <c r="G1944" s="4"/>
      <c r="H1944" s="4"/>
      <c r="I1944" s="4"/>
      <c r="J1944" s="4"/>
      <c r="K1944" s="4"/>
      <c r="L1944" s="4"/>
      <c r="M1944" s="4"/>
      <c r="N1944" s="4"/>
      <c r="O1944" s="4"/>
      <c r="P1944" s="4"/>
      <c r="Q1944" s="4"/>
      <c r="R1944" s="4"/>
      <c r="S1944" s="4"/>
      <c r="T1944" s="4"/>
      <c r="U1944" s="4"/>
      <c r="V1944" s="4"/>
      <c r="W1944" s="4"/>
      <c r="X1944" s="4"/>
      <c r="Y1944" s="4"/>
      <c r="Z1944" s="4"/>
      <c r="AA1944" s="4"/>
      <c r="AB1944" s="5"/>
    </row>
    <row r="1945" spans="1:28" x14ac:dyDescent="0.35">
      <c r="A1945" s="3"/>
      <c r="B1945" s="4"/>
      <c r="C1945" s="4"/>
      <c r="D1945" s="4"/>
      <c r="E1945" s="4"/>
      <c r="F1945" s="4"/>
      <c r="G1945" s="4"/>
      <c r="H1945" s="4"/>
      <c r="I1945" s="4"/>
      <c r="J1945" s="4"/>
      <c r="K1945" s="4"/>
      <c r="L1945" s="4"/>
      <c r="M1945" s="4"/>
      <c r="N1945" s="4"/>
      <c r="O1945" s="4"/>
      <c r="P1945" s="4"/>
      <c r="Q1945" s="4"/>
      <c r="R1945" s="4"/>
      <c r="S1945" s="4"/>
      <c r="T1945" s="4"/>
      <c r="U1945" s="4"/>
      <c r="V1945" s="4"/>
      <c r="W1945" s="4"/>
      <c r="X1945" s="4"/>
      <c r="Y1945" s="4"/>
      <c r="Z1945" s="4"/>
      <c r="AA1945" s="4"/>
      <c r="AB1945" s="5"/>
    </row>
    <row r="1946" spans="1:28" x14ac:dyDescent="0.35">
      <c r="A1946" s="3"/>
      <c r="B1946" s="4"/>
      <c r="C1946" s="4"/>
      <c r="D1946" s="4"/>
      <c r="E1946" s="4"/>
      <c r="F1946" s="4"/>
      <c r="G1946" s="4"/>
      <c r="H1946" s="4"/>
      <c r="I1946" s="4"/>
      <c r="J1946" s="4"/>
      <c r="K1946" s="4"/>
      <c r="L1946" s="4"/>
      <c r="M1946" s="4"/>
      <c r="N1946" s="4"/>
      <c r="O1946" s="4"/>
      <c r="P1946" s="4"/>
      <c r="Q1946" s="4"/>
      <c r="R1946" s="4"/>
      <c r="S1946" s="4"/>
      <c r="T1946" s="4"/>
      <c r="U1946" s="4"/>
      <c r="V1946" s="4"/>
      <c r="W1946" s="4"/>
      <c r="X1946" s="4"/>
      <c r="Y1946" s="4"/>
      <c r="Z1946" s="4"/>
      <c r="AA1946" s="4"/>
      <c r="AB1946" s="5"/>
    </row>
    <row r="1947" spans="1:28" x14ac:dyDescent="0.35">
      <c r="A1947" s="3"/>
      <c r="B1947" s="4"/>
      <c r="C1947" s="4"/>
      <c r="D1947" s="4"/>
      <c r="E1947" s="4"/>
      <c r="F1947" s="4"/>
      <c r="G1947" s="4"/>
      <c r="H1947" s="4"/>
      <c r="I1947" s="4"/>
      <c r="J1947" s="4"/>
      <c r="K1947" s="4"/>
      <c r="L1947" s="4"/>
      <c r="M1947" s="4"/>
      <c r="N1947" s="4"/>
      <c r="O1947" s="4"/>
      <c r="P1947" s="4"/>
      <c r="Q1947" s="4"/>
      <c r="R1947" s="4"/>
      <c r="S1947" s="4"/>
      <c r="T1947" s="4"/>
      <c r="U1947" s="4"/>
      <c r="V1947" s="4"/>
      <c r="W1947" s="4"/>
      <c r="X1947" s="4"/>
      <c r="Y1947" s="4"/>
      <c r="Z1947" s="4"/>
      <c r="AA1947" s="4"/>
      <c r="AB1947" s="5"/>
    </row>
    <row r="1948" spans="1:28" x14ac:dyDescent="0.35">
      <c r="A1948" s="3"/>
      <c r="B1948" s="4"/>
      <c r="C1948" s="4"/>
      <c r="D1948" s="4"/>
      <c r="E1948" s="4"/>
      <c r="F1948" s="4"/>
      <c r="G1948" s="4"/>
      <c r="H1948" s="4"/>
      <c r="I1948" s="4"/>
      <c r="J1948" s="4"/>
      <c r="K1948" s="4"/>
      <c r="L1948" s="4"/>
      <c r="M1948" s="4"/>
      <c r="N1948" s="4"/>
      <c r="O1948" s="4"/>
      <c r="P1948" s="4"/>
      <c r="Q1948" s="4"/>
      <c r="R1948" s="4"/>
      <c r="S1948" s="4"/>
      <c r="T1948" s="4"/>
      <c r="U1948" s="4"/>
      <c r="V1948" s="4"/>
      <c r="W1948" s="4"/>
      <c r="X1948" s="4"/>
      <c r="Y1948" s="4"/>
      <c r="Z1948" s="4"/>
      <c r="AA1948" s="4"/>
      <c r="AB1948" s="5"/>
    </row>
    <row r="1949" spans="1:28" x14ac:dyDescent="0.35">
      <c r="A1949" s="3"/>
      <c r="B1949" s="4"/>
      <c r="C1949" s="4"/>
      <c r="D1949" s="4"/>
      <c r="E1949" s="4"/>
      <c r="F1949" s="4"/>
      <c r="G1949" s="4"/>
      <c r="H1949" s="4"/>
      <c r="I1949" s="4"/>
      <c r="J1949" s="4"/>
      <c r="K1949" s="4"/>
      <c r="L1949" s="4"/>
      <c r="M1949" s="4"/>
      <c r="N1949" s="4"/>
      <c r="O1949" s="4"/>
      <c r="P1949" s="4"/>
      <c r="Q1949" s="4"/>
      <c r="R1949" s="4"/>
      <c r="S1949" s="4"/>
      <c r="T1949" s="4"/>
      <c r="U1949" s="4"/>
      <c r="V1949" s="4"/>
      <c r="W1949" s="4"/>
      <c r="X1949" s="4"/>
      <c r="Y1949" s="4"/>
      <c r="Z1949" s="4"/>
      <c r="AA1949" s="4"/>
      <c r="AB1949" s="5"/>
    </row>
    <row r="1950" spans="1:28" x14ac:dyDescent="0.35">
      <c r="A1950" s="3"/>
      <c r="B1950" s="4"/>
      <c r="C1950" s="4"/>
      <c r="D1950" s="4"/>
      <c r="E1950" s="4"/>
      <c r="F1950" s="4"/>
      <c r="G1950" s="4"/>
      <c r="H1950" s="4"/>
      <c r="I1950" s="4"/>
      <c r="J1950" s="4"/>
      <c r="K1950" s="4"/>
      <c r="L1950" s="4"/>
      <c r="M1950" s="4"/>
      <c r="N1950" s="4"/>
      <c r="O1950" s="4"/>
      <c r="P1950" s="4"/>
      <c r="Q1950" s="4"/>
      <c r="R1950" s="4"/>
      <c r="S1950" s="4"/>
      <c r="T1950" s="4"/>
      <c r="U1950" s="4"/>
      <c r="V1950" s="4"/>
      <c r="W1950" s="4"/>
      <c r="X1950" s="4"/>
      <c r="Y1950" s="4"/>
      <c r="Z1950" s="4"/>
      <c r="AA1950" s="4"/>
      <c r="AB1950" s="5"/>
    </row>
    <row r="1951" spans="1:28" x14ac:dyDescent="0.35">
      <c r="A1951" s="3"/>
      <c r="B1951" s="4"/>
      <c r="C1951" s="4"/>
      <c r="D1951" s="4"/>
      <c r="E1951" s="4"/>
      <c r="F1951" s="4"/>
      <c r="G1951" s="4"/>
      <c r="H1951" s="4"/>
      <c r="I1951" s="4"/>
      <c r="J1951" s="4"/>
      <c r="K1951" s="4"/>
      <c r="L1951" s="4"/>
      <c r="M1951" s="4"/>
      <c r="N1951" s="4"/>
      <c r="O1951" s="4"/>
      <c r="P1951" s="4"/>
      <c r="Q1951" s="4"/>
      <c r="R1951" s="4"/>
      <c r="S1951" s="4"/>
      <c r="T1951" s="4"/>
      <c r="U1951" s="4"/>
      <c r="V1951" s="4"/>
      <c r="W1951" s="4"/>
      <c r="X1951" s="4"/>
      <c r="Y1951" s="4"/>
      <c r="Z1951" s="4"/>
      <c r="AA1951" s="4"/>
      <c r="AB1951" s="5"/>
    </row>
    <row r="1952" spans="1:28" x14ac:dyDescent="0.35">
      <c r="A1952" s="3"/>
      <c r="B1952" s="4"/>
      <c r="C1952" s="4"/>
      <c r="D1952" s="4"/>
      <c r="E1952" s="4"/>
      <c r="F1952" s="4"/>
      <c r="G1952" s="4"/>
      <c r="H1952" s="4"/>
      <c r="I1952" s="4"/>
      <c r="J1952" s="4"/>
      <c r="K1952" s="4"/>
      <c r="L1952" s="4"/>
      <c r="M1952" s="4"/>
      <c r="N1952" s="4"/>
      <c r="O1952" s="4"/>
      <c r="P1952" s="4"/>
      <c r="Q1952" s="4"/>
      <c r="R1952" s="4"/>
      <c r="S1952" s="4"/>
      <c r="T1952" s="4"/>
      <c r="U1952" s="4"/>
      <c r="V1952" s="4"/>
      <c r="W1952" s="4"/>
      <c r="X1952" s="4"/>
      <c r="Y1952" s="4"/>
      <c r="Z1952" s="4"/>
      <c r="AA1952" s="4"/>
      <c r="AB1952" s="5"/>
    </row>
    <row r="1953" spans="1:28" x14ac:dyDescent="0.35">
      <c r="A1953" s="3"/>
      <c r="B1953" s="4"/>
      <c r="C1953" s="4"/>
      <c r="D1953" s="4"/>
      <c r="E1953" s="4"/>
      <c r="F1953" s="4"/>
      <c r="G1953" s="4"/>
      <c r="H1953" s="4"/>
      <c r="I1953" s="4"/>
      <c r="J1953" s="4"/>
      <c r="K1953" s="4"/>
      <c r="L1953" s="4"/>
      <c r="M1953" s="4"/>
      <c r="N1953" s="4"/>
      <c r="O1953" s="4"/>
      <c r="P1953" s="4"/>
      <c r="Q1953" s="4"/>
      <c r="R1953" s="4"/>
      <c r="S1953" s="4"/>
      <c r="T1953" s="4"/>
      <c r="U1953" s="4"/>
      <c r="V1953" s="4"/>
      <c r="W1953" s="4"/>
      <c r="X1953" s="4"/>
      <c r="Y1953" s="4"/>
      <c r="Z1953" s="4"/>
      <c r="AA1953" s="4"/>
      <c r="AB1953" s="5"/>
    </row>
    <row r="1954" spans="1:28" x14ac:dyDescent="0.35">
      <c r="A1954" s="3"/>
      <c r="B1954" s="4"/>
      <c r="C1954" s="4"/>
      <c r="D1954" s="4"/>
      <c r="E1954" s="4"/>
      <c r="F1954" s="4"/>
      <c r="G1954" s="4"/>
      <c r="H1954" s="4"/>
      <c r="I1954" s="4"/>
      <c r="J1954" s="4"/>
      <c r="K1954" s="4"/>
      <c r="L1954" s="4"/>
      <c r="M1954" s="4"/>
      <c r="N1954" s="4"/>
      <c r="O1954" s="4"/>
      <c r="P1954" s="4"/>
      <c r="Q1954" s="4"/>
      <c r="R1954" s="4"/>
      <c r="S1954" s="4"/>
      <c r="T1954" s="4"/>
      <c r="U1954" s="4"/>
      <c r="V1954" s="4"/>
      <c r="W1954" s="4"/>
      <c r="X1954" s="4"/>
      <c r="Y1954" s="4"/>
      <c r="Z1954" s="4"/>
      <c r="AA1954" s="4"/>
      <c r="AB1954" s="5"/>
    </row>
    <row r="1955" spans="1:28" x14ac:dyDescent="0.35">
      <c r="A1955" s="3"/>
      <c r="B1955" s="4"/>
      <c r="C1955" s="4"/>
      <c r="D1955" s="4"/>
      <c r="E1955" s="4"/>
      <c r="F1955" s="4"/>
      <c r="G1955" s="4"/>
      <c r="H1955" s="4"/>
      <c r="I1955" s="4"/>
      <c r="J1955" s="4"/>
      <c r="K1955" s="4"/>
      <c r="L1955" s="4"/>
      <c r="M1955" s="4"/>
      <c r="N1955" s="4"/>
      <c r="O1955" s="4"/>
      <c r="P1955" s="4"/>
      <c r="Q1955" s="4"/>
      <c r="R1955" s="4"/>
      <c r="S1955" s="4"/>
      <c r="T1955" s="4"/>
      <c r="U1955" s="4"/>
      <c r="V1955" s="4"/>
      <c r="W1955" s="4"/>
      <c r="X1955" s="4"/>
      <c r="Y1955" s="4"/>
      <c r="Z1955" s="4"/>
      <c r="AA1955" s="4"/>
      <c r="AB1955" s="5"/>
    </row>
    <row r="1956" spans="1:28" x14ac:dyDescent="0.35">
      <c r="A1956" s="3"/>
      <c r="B1956" s="4"/>
      <c r="C1956" s="4"/>
      <c r="D1956" s="4"/>
      <c r="E1956" s="4"/>
      <c r="F1956" s="4"/>
      <c r="G1956" s="4"/>
      <c r="H1956" s="4"/>
      <c r="I1956" s="4"/>
      <c r="J1956" s="4"/>
      <c r="K1956" s="4"/>
      <c r="L1956" s="4"/>
      <c r="M1956" s="4"/>
      <c r="N1956" s="4"/>
      <c r="O1956" s="4"/>
      <c r="P1956" s="4"/>
      <c r="Q1956" s="4"/>
      <c r="R1956" s="4"/>
      <c r="S1956" s="4"/>
      <c r="T1956" s="4"/>
      <c r="U1956" s="4"/>
      <c r="V1956" s="4"/>
      <c r="W1956" s="4"/>
      <c r="X1956" s="4"/>
      <c r="Y1956" s="4"/>
      <c r="Z1956" s="4"/>
      <c r="AA1956" s="4"/>
      <c r="AB1956" s="5"/>
    </row>
    <row r="1957" spans="1:28" x14ac:dyDescent="0.35">
      <c r="A1957" s="3"/>
      <c r="B1957" s="4"/>
      <c r="C1957" s="4"/>
      <c r="D1957" s="4"/>
      <c r="E1957" s="4"/>
      <c r="F1957" s="4"/>
      <c r="G1957" s="4"/>
      <c r="H1957" s="4"/>
      <c r="I1957" s="4"/>
      <c r="J1957" s="4"/>
      <c r="K1957" s="4"/>
      <c r="L1957" s="4"/>
      <c r="M1957" s="4"/>
      <c r="N1957" s="4"/>
      <c r="O1957" s="4"/>
      <c r="P1957" s="4"/>
      <c r="Q1957" s="4"/>
      <c r="R1957" s="4"/>
      <c r="S1957" s="4"/>
      <c r="T1957" s="4"/>
      <c r="U1957" s="4"/>
      <c r="V1957" s="4"/>
      <c r="W1957" s="4"/>
      <c r="X1957" s="4"/>
      <c r="Y1957" s="4"/>
      <c r="Z1957" s="4"/>
      <c r="AA1957" s="4"/>
      <c r="AB1957" s="5"/>
    </row>
    <row r="1958" spans="1:28" x14ac:dyDescent="0.35">
      <c r="A1958" s="3"/>
      <c r="B1958" s="4"/>
      <c r="C1958" s="4"/>
      <c r="D1958" s="4"/>
      <c r="E1958" s="4"/>
      <c r="F1958" s="4"/>
      <c r="G1958" s="4"/>
      <c r="H1958" s="4"/>
      <c r="I1958" s="4"/>
      <c r="J1958" s="4"/>
      <c r="K1958" s="4"/>
      <c r="L1958" s="4"/>
      <c r="M1958" s="4"/>
      <c r="N1958" s="4"/>
      <c r="O1958" s="4"/>
      <c r="P1958" s="4"/>
      <c r="Q1958" s="4"/>
      <c r="R1958" s="4"/>
      <c r="S1958" s="4"/>
      <c r="T1958" s="4"/>
      <c r="U1958" s="4"/>
      <c r="V1958" s="4"/>
      <c r="W1958" s="4"/>
      <c r="X1958" s="4"/>
      <c r="Y1958" s="4"/>
      <c r="Z1958" s="4"/>
      <c r="AA1958" s="4"/>
      <c r="AB1958" s="5"/>
    </row>
    <row r="1959" spans="1:28" x14ac:dyDescent="0.35">
      <c r="A1959" s="3"/>
      <c r="B1959" s="4"/>
      <c r="C1959" s="4"/>
      <c r="D1959" s="4"/>
      <c r="E1959" s="4"/>
      <c r="F1959" s="4"/>
      <c r="G1959" s="4"/>
      <c r="H1959" s="4"/>
      <c r="I1959" s="4"/>
      <c r="J1959" s="4"/>
      <c r="K1959" s="4"/>
      <c r="L1959" s="4"/>
      <c r="M1959" s="4"/>
      <c r="N1959" s="4"/>
      <c r="O1959" s="4"/>
      <c r="P1959" s="4"/>
      <c r="Q1959" s="4"/>
      <c r="R1959" s="4"/>
      <c r="S1959" s="4"/>
      <c r="T1959" s="4"/>
      <c r="U1959" s="4"/>
      <c r="V1959" s="4"/>
      <c r="W1959" s="4"/>
      <c r="X1959" s="4"/>
      <c r="Y1959" s="4"/>
      <c r="Z1959" s="4"/>
      <c r="AA1959" s="4"/>
      <c r="AB1959" s="5"/>
    </row>
    <row r="1960" spans="1:28" x14ac:dyDescent="0.35">
      <c r="A1960" s="3"/>
      <c r="B1960" s="4"/>
      <c r="C1960" s="4"/>
      <c r="D1960" s="4"/>
      <c r="E1960" s="4"/>
      <c r="F1960" s="4"/>
      <c r="G1960" s="4"/>
      <c r="H1960" s="4"/>
      <c r="I1960" s="4"/>
      <c r="J1960" s="4"/>
      <c r="K1960" s="4"/>
      <c r="L1960" s="4"/>
      <c r="M1960" s="4"/>
      <c r="N1960" s="4"/>
      <c r="O1960" s="4"/>
      <c r="P1960" s="4"/>
      <c r="Q1960" s="4"/>
      <c r="R1960" s="4"/>
      <c r="S1960" s="4"/>
      <c r="T1960" s="4"/>
      <c r="U1960" s="4"/>
      <c r="V1960" s="4"/>
      <c r="W1960" s="4"/>
      <c r="X1960" s="4"/>
      <c r="Y1960" s="4"/>
      <c r="Z1960" s="4"/>
      <c r="AA1960" s="4"/>
      <c r="AB1960" s="5"/>
    </row>
    <row r="1961" spans="1:28" x14ac:dyDescent="0.35">
      <c r="A1961" s="3"/>
      <c r="B1961" s="4"/>
      <c r="C1961" s="4"/>
      <c r="D1961" s="4"/>
      <c r="E1961" s="4"/>
      <c r="F1961" s="4"/>
      <c r="G1961" s="4"/>
      <c r="H1961" s="4"/>
      <c r="I1961" s="4"/>
      <c r="J1961" s="4"/>
      <c r="K1961" s="4"/>
      <c r="L1961" s="4"/>
      <c r="M1961" s="4"/>
      <c r="N1961" s="4"/>
      <c r="O1961" s="4"/>
      <c r="P1961" s="4"/>
      <c r="Q1961" s="4"/>
      <c r="R1961" s="4"/>
      <c r="S1961" s="4"/>
      <c r="T1961" s="4"/>
      <c r="U1961" s="4"/>
      <c r="V1961" s="4"/>
      <c r="W1961" s="4"/>
      <c r="X1961" s="4"/>
      <c r="Y1961" s="4"/>
      <c r="Z1961" s="4"/>
      <c r="AA1961" s="4"/>
      <c r="AB1961" s="5"/>
    </row>
    <row r="1962" spans="1:28" x14ac:dyDescent="0.35">
      <c r="A1962" s="3"/>
      <c r="B1962" s="4"/>
      <c r="C1962" s="4"/>
      <c r="D1962" s="4"/>
      <c r="E1962" s="4"/>
      <c r="F1962" s="4"/>
      <c r="G1962" s="4"/>
      <c r="H1962" s="4"/>
      <c r="I1962" s="4"/>
      <c r="J1962" s="4"/>
      <c r="K1962" s="4"/>
      <c r="L1962" s="4"/>
      <c r="M1962" s="4"/>
      <c r="N1962" s="4"/>
      <c r="O1962" s="4"/>
      <c r="P1962" s="4"/>
      <c r="Q1962" s="4"/>
      <c r="R1962" s="4"/>
      <c r="S1962" s="4"/>
      <c r="T1962" s="4"/>
      <c r="U1962" s="4"/>
      <c r="V1962" s="4"/>
      <c r="W1962" s="4"/>
      <c r="X1962" s="4"/>
      <c r="Y1962" s="4"/>
      <c r="Z1962" s="4"/>
      <c r="AA1962" s="4"/>
      <c r="AB1962" s="5"/>
    </row>
    <row r="1963" spans="1:28" x14ac:dyDescent="0.35">
      <c r="A1963" s="3"/>
      <c r="B1963" s="4"/>
      <c r="C1963" s="4"/>
      <c r="D1963" s="4"/>
      <c r="E1963" s="4"/>
      <c r="F1963" s="4"/>
      <c r="G1963" s="4"/>
      <c r="H1963" s="4"/>
      <c r="I1963" s="4"/>
      <c r="J1963" s="4"/>
      <c r="K1963" s="4"/>
      <c r="L1963" s="4"/>
      <c r="M1963" s="4"/>
      <c r="N1963" s="4"/>
      <c r="O1963" s="4"/>
      <c r="P1963" s="4"/>
      <c r="Q1963" s="4"/>
      <c r="R1963" s="4"/>
      <c r="S1963" s="4"/>
      <c r="T1963" s="4"/>
      <c r="U1963" s="4"/>
      <c r="V1963" s="4"/>
      <c r="W1963" s="4"/>
      <c r="X1963" s="4"/>
      <c r="Y1963" s="4"/>
      <c r="Z1963" s="4"/>
      <c r="AA1963" s="4"/>
      <c r="AB1963" s="5"/>
    </row>
    <row r="1964" spans="1:28" x14ac:dyDescent="0.35">
      <c r="A1964" s="3"/>
      <c r="B1964" s="4"/>
      <c r="C1964" s="4"/>
      <c r="D1964" s="4"/>
      <c r="E1964" s="4"/>
      <c r="F1964" s="4"/>
      <c r="G1964" s="4"/>
      <c r="H1964" s="4"/>
      <c r="I1964" s="4"/>
      <c r="J1964" s="4"/>
      <c r="K1964" s="4"/>
      <c r="L1964" s="4"/>
      <c r="M1964" s="4"/>
      <c r="N1964" s="4"/>
      <c r="O1964" s="4"/>
      <c r="P1964" s="4"/>
      <c r="Q1964" s="4"/>
      <c r="R1964" s="4"/>
      <c r="S1964" s="4"/>
      <c r="T1964" s="4"/>
      <c r="U1964" s="4"/>
      <c r="V1964" s="4"/>
      <c r="W1964" s="4"/>
      <c r="X1964" s="4"/>
      <c r="Y1964" s="4"/>
      <c r="Z1964" s="4"/>
      <c r="AA1964" s="4"/>
      <c r="AB1964" s="5"/>
    </row>
    <row r="1965" spans="1:28" x14ac:dyDescent="0.35">
      <c r="A1965" s="3"/>
      <c r="B1965" s="4"/>
      <c r="C1965" s="4"/>
      <c r="D1965" s="4"/>
      <c r="E1965" s="4"/>
      <c r="F1965" s="4"/>
      <c r="G1965" s="4"/>
      <c r="H1965" s="4"/>
      <c r="I1965" s="4"/>
      <c r="J1965" s="4"/>
      <c r="K1965" s="4"/>
      <c r="L1965" s="4"/>
      <c r="M1965" s="4"/>
      <c r="N1965" s="4"/>
      <c r="O1965" s="4"/>
      <c r="P1965" s="4"/>
      <c r="Q1965" s="4"/>
      <c r="R1965" s="4"/>
      <c r="S1965" s="4"/>
      <c r="T1965" s="4"/>
      <c r="U1965" s="4"/>
      <c r="V1965" s="4"/>
      <c r="W1965" s="4"/>
      <c r="X1965" s="4"/>
      <c r="Y1965" s="4"/>
      <c r="Z1965" s="4"/>
      <c r="AA1965" s="4"/>
      <c r="AB1965" s="5"/>
    </row>
    <row r="1966" spans="1:28" x14ac:dyDescent="0.35">
      <c r="A1966" s="3"/>
      <c r="B1966" s="4"/>
      <c r="C1966" s="4"/>
      <c r="D1966" s="4"/>
      <c r="E1966" s="4"/>
      <c r="F1966" s="4"/>
      <c r="G1966" s="4"/>
      <c r="H1966" s="4"/>
      <c r="I1966" s="4"/>
      <c r="J1966" s="4"/>
      <c r="K1966" s="4"/>
      <c r="L1966" s="4"/>
      <c r="M1966" s="4"/>
      <c r="N1966" s="4"/>
      <c r="O1966" s="4"/>
      <c r="P1966" s="4"/>
      <c r="Q1966" s="4"/>
      <c r="R1966" s="4"/>
      <c r="S1966" s="4"/>
      <c r="T1966" s="4"/>
      <c r="U1966" s="4"/>
      <c r="V1966" s="4"/>
      <c r="W1966" s="4"/>
      <c r="X1966" s="4"/>
      <c r="Y1966" s="4"/>
      <c r="Z1966" s="4"/>
      <c r="AA1966" s="4"/>
      <c r="AB1966" s="5"/>
    </row>
    <row r="1967" spans="1:28" x14ac:dyDescent="0.35">
      <c r="A1967" s="3"/>
      <c r="B1967" s="4"/>
      <c r="C1967" s="4"/>
      <c r="D1967" s="4"/>
      <c r="E1967" s="4"/>
      <c r="F1967" s="4"/>
      <c r="G1967" s="4"/>
      <c r="H1967" s="4"/>
      <c r="I1967" s="4"/>
      <c r="J1967" s="4"/>
      <c r="K1967" s="4"/>
      <c r="L1967" s="4"/>
      <c r="M1967" s="4"/>
      <c r="N1967" s="4"/>
      <c r="O1967" s="4"/>
      <c r="P1967" s="4"/>
      <c r="Q1967" s="4"/>
      <c r="R1967" s="4"/>
      <c r="S1967" s="4"/>
      <c r="T1967" s="4"/>
      <c r="U1967" s="4"/>
      <c r="V1967" s="4"/>
      <c r="W1967" s="4"/>
      <c r="X1967" s="4"/>
      <c r="Y1967" s="4"/>
      <c r="Z1967" s="4"/>
      <c r="AA1967" s="4"/>
      <c r="AB1967" s="5"/>
    </row>
    <row r="1968" spans="1:28" x14ac:dyDescent="0.35">
      <c r="A1968" s="3"/>
      <c r="B1968" s="4"/>
      <c r="C1968" s="4"/>
      <c r="D1968" s="4"/>
      <c r="E1968" s="4"/>
      <c r="F1968" s="4"/>
      <c r="G1968" s="4"/>
      <c r="H1968" s="4"/>
      <c r="I1968" s="4"/>
      <c r="J1968" s="4"/>
      <c r="K1968" s="4"/>
      <c r="L1968" s="4"/>
      <c r="M1968" s="4"/>
      <c r="N1968" s="4"/>
      <c r="O1968" s="4"/>
      <c r="P1968" s="4"/>
      <c r="Q1968" s="4"/>
      <c r="R1968" s="4"/>
      <c r="S1968" s="4"/>
      <c r="T1968" s="4"/>
      <c r="U1968" s="4"/>
      <c r="V1968" s="4"/>
      <c r="W1968" s="4"/>
      <c r="X1968" s="4"/>
      <c r="Y1968" s="4"/>
      <c r="Z1968" s="4"/>
      <c r="AA1968" s="4"/>
      <c r="AB1968" s="5"/>
    </row>
    <row r="1969" spans="1:28" x14ac:dyDescent="0.35">
      <c r="A1969" s="3"/>
      <c r="B1969" s="4"/>
      <c r="C1969" s="4"/>
      <c r="D1969" s="4"/>
      <c r="E1969" s="4"/>
      <c r="F1969" s="4"/>
      <c r="G1969" s="4"/>
      <c r="H1969" s="4"/>
      <c r="I1969" s="4"/>
      <c r="J1969" s="4"/>
      <c r="K1969" s="4"/>
      <c r="L1969" s="4"/>
      <c r="M1969" s="4"/>
      <c r="N1969" s="4"/>
      <c r="O1969" s="4"/>
      <c r="P1969" s="4"/>
      <c r="Q1969" s="4"/>
      <c r="R1969" s="4"/>
      <c r="S1969" s="4"/>
      <c r="T1969" s="4"/>
      <c r="U1969" s="4"/>
      <c r="V1969" s="4"/>
      <c r="W1969" s="4"/>
      <c r="X1969" s="4"/>
      <c r="Y1969" s="4"/>
      <c r="Z1969" s="4"/>
      <c r="AA1969" s="4"/>
      <c r="AB1969" s="5"/>
    </row>
    <row r="1970" spans="1:28" x14ac:dyDescent="0.35">
      <c r="A1970" s="3"/>
      <c r="B1970" s="4"/>
      <c r="C1970" s="4"/>
      <c r="D1970" s="4"/>
      <c r="E1970" s="4"/>
      <c r="F1970" s="4"/>
      <c r="G1970" s="4"/>
      <c r="H1970" s="4"/>
      <c r="I1970" s="4"/>
      <c r="J1970" s="4"/>
      <c r="K1970" s="4"/>
      <c r="L1970" s="4"/>
      <c r="M1970" s="4"/>
      <c r="N1970" s="4"/>
      <c r="O1970" s="4"/>
      <c r="P1970" s="4"/>
      <c r="Q1970" s="4"/>
      <c r="R1970" s="4"/>
      <c r="S1970" s="4"/>
      <c r="T1970" s="4"/>
      <c r="U1970" s="4"/>
      <c r="V1970" s="4"/>
      <c r="W1970" s="4"/>
      <c r="X1970" s="4"/>
      <c r="Y1970" s="4"/>
      <c r="Z1970" s="4"/>
      <c r="AA1970" s="4"/>
      <c r="AB1970" s="5"/>
    </row>
    <row r="1971" spans="1:28" x14ac:dyDescent="0.35">
      <c r="A1971" s="3"/>
      <c r="B1971" s="4"/>
      <c r="C1971" s="4"/>
      <c r="D1971" s="4"/>
      <c r="E1971" s="4"/>
      <c r="F1971" s="4"/>
      <c r="G1971" s="4"/>
      <c r="H1971" s="4"/>
      <c r="I1971" s="4"/>
      <c r="J1971" s="4"/>
      <c r="K1971" s="4"/>
      <c r="L1971" s="4"/>
      <c r="M1971" s="4"/>
      <c r="N1971" s="4"/>
      <c r="O1971" s="4"/>
      <c r="P1971" s="4"/>
      <c r="Q1971" s="4"/>
      <c r="R1971" s="4"/>
      <c r="S1971" s="4"/>
      <c r="T1971" s="4"/>
      <c r="U1971" s="4"/>
      <c r="V1971" s="4"/>
      <c r="W1971" s="4"/>
      <c r="X1971" s="4"/>
      <c r="Y1971" s="4"/>
      <c r="Z1971" s="4"/>
      <c r="AA1971" s="4"/>
      <c r="AB1971" s="5"/>
    </row>
    <row r="1972" spans="1:28" x14ac:dyDescent="0.35">
      <c r="A1972" s="3"/>
      <c r="B1972" s="4"/>
      <c r="C1972" s="4"/>
      <c r="D1972" s="4"/>
      <c r="E1972" s="4"/>
      <c r="F1972" s="4"/>
      <c r="G1972" s="4"/>
      <c r="H1972" s="4"/>
      <c r="I1972" s="4"/>
      <c r="J1972" s="4"/>
      <c r="K1972" s="4"/>
      <c r="L1972" s="4"/>
      <c r="M1972" s="4"/>
      <c r="N1972" s="4"/>
      <c r="O1972" s="4"/>
      <c r="P1972" s="4"/>
      <c r="Q1972" s="4"/>
      <c r="R1972" s="4"/>
      <c r="S1972" s="4"/>
      <c r="T1972" s="4"/>
      <c r="U1972" s="4"/>
      <c r="V1972" s="4"/>
      <c r="W1972" s="4"/>
      <c r="X1972" s="4"/>
      <c r="Y1972" s="4"/>
      <c r="Z1972" s="4"/>
      <c r="AA1972" s="4"/>
      <c r="AB1972" s="5"/>
    </row>
    <row r="1973" spans="1:28" x14ac:dyDescent="0.35">
      <c r="A1973" s="3"/>
      <c r="B1973" s="4"/>
      <c r="C1973" s="4"/>
      <c r="D1973" s="4"/>
      <c r="E1973" s="4"/>
      <c r="F1973" s="4"/>
      <c r="G1973" s="4"/>
      <c r="H1973" s="4"/>
      <c r="I1973" s="4"/>
      <c r="J1973" s="4"/>
      <c r="K1973" s="4"/>
      <c r="L1973" s="4"/>
      <c r="M1973" s="4"/>
      <c r="N1973" s="4"/>
      <c r="O1973" s="4"/>
      <c r="P1973" s="4"/>
      <c r="Q1973" s="4"/>
      <c r="R1973" s="4"/>
      <c r="S1973" s="4"/>
      <c r="T1973" s="4"/>
      <c r="U1973" s="4"/>
      <c r="V1973" s="4"/>
      <c r="W1973" s="4"/>
      <c r="X1973" s="4"/>
      <c r="Y1973" s="4"/>
      <c r="Z1973" s="4"/>
      <c r="AA1973" s="4"/>
      <c r="AB1973" s="5"/>
    </row>
    <row r="1974" spans="1:28" x14ac:dyDescent="0.35">
      <c r="A1974" s="3"/>
      <c r="B1974" s="4"/>
      <c r="C1974" s="4"/>
      <c r="D1974" s="4"/>
      <c r="E1974" s="4"/>
      <c r="F1974" s="4"/>
      <c r="G1974" s="4"/>
      <c r="H1974" s="4"/>
      <c r="I1974" s="4"/>
      <c r="J1974" s="4"/>
      <c r="K1974" s="4"/>
      <c r="L1974" s="4"/>
      <c r="M1974" s="4"/>
      <c r="N1974" s="4"/>
      <c r="O1974" s="4"/>
      <c r="P1974" s="4"/>
      <c r="Q1974" s="4"/>
      <c r="R1974" s="4"/>
      <c r="S1974" s="4"/>
      <c r="T1974" s="4"/>
      <c r="U1974" s="4"/>
      <c r="V1974" s="4"/>
      <c r="W1974" s="4"/>
      <c r="X1974" s="4"/>
      <c r="Y1974" s="4"/>
      <c r="Z1974" s="4"/>
      <c r="AA1974" s="4"/>
      <c r="AB1974" s="5"/>
    </row>
    <row r="1975" spans="1:28" x14ac:dyDescent="0.35">
      <c r="A1975" s="3"/>
      <c r="B1975" s="4"/>
      <c r="C1975" s="4"/>
      <c r="D1975" s="4"/>
      <c r="E1975" s="4"/>
      <c r="F1975" s="4"/>
      <c r="G1975" s="4"/>
      <c r="H1975" s="4"/>
      <c r="I1975" s="4"/>
      <c r="J1975" s="4"/>
      <c r="K1975" s="4"/>
      <c r="L1975" s="4"/>
      <c r="M1975" s="4"/>
      <c r="N1975" s="4"/>
      <c r="O1975" s="4"/>
      <c r="P1975" s="4"/>
      <c r="Q1975" s="4"/>
      <c r="R1975" s="4"/>
      <c r="S1975" s="4"/>
      <c r="T1975" s="4"/>
      <c r="U1975" s="4"/>
      <c r="V1975" s="4"/>
      <c r="W1975" s="4"/>
      <c r="X1975" s="4"/>
      <c r="Y1975" s="4"/>
      <c r="Z1975" s="4"/>
      <c r="AA1975" s="4"/>
      <c r="AB1975" s="5"/>
    </row>
    <row r="1976" spans="1:28" x14ac:dyDescent="0.35">
      <c r="A1976" s="3"/>
      <c r="B1976" s="4"/>
      <c r="C1976" s="4"/>
      <c r="D1976" s="4"/>
      <c r="E1976" s="4"/>
      <c r="F1976" s="4"/>
      <c r="G1976" s="4"/>
      <c r="H1976" s="4"/>
      <c r="I1976" s="4"/>
      <c r="J1976" s="4"/>
      <c r="K1976" s="4"/>
      <c r="L1976" s="4"/>
      <c r="M1976" s="4"/>
      <c r="N1976" s="4"/>
      <c r="O1976" s="4"/>
      <c r="P1976" s="4"/>
      <c r="Q1976" s="4"/>
      <c r="R1976" s="4"/>
      <c r="S1976" s="4"/>
      <c r="T1976" s="4"/>
      <c r="U1976" s="4"/>
      <c r="V1976" s="4"/>
      <c r="W1976" s="4"/>
      <c r="X1976" s="4"/>
      <c r="Y1976" s="4"/>
      <c r="Z1976" s="4"/>
      <c r="AA1976" s="4"/>
      <c r="AB1976" s="5"/>
    </row>
    <row r="1977" spans="1:28" x14ac:dyDescent="0.35">
      <c r="A1977" s="3"/>
      <c r="B1977" s="4"/>
      <c r="C1977" s="4"/>
      <c r="D1977" s="4"/>
      <c r="E1977" s="4"/>
      <c r="F1977" s="4"/>
      <c r="G1977" s="4"/>
      <c r="H1977" s="4"/>
      <c r="I1977" s="4"/>
      <c r="J1977" s="4"/>
      <c r="K1977" s="4"/>
      <c r="L1977" s="4"/>
      <c r="M1977" s="4"/>
      <c r="N1977" s="4"/>
      <c r="O1977" s="4"/>
      <c r="P1977" s="4"/>
      <c r="Q1977" s="4"/>
      <c r="R1977" s="4"/>
      <c r="S1977" s="4"/>
      <c r="T1977" s="4"/>
      <c r="U1977" s="4"/>
      <c r="V1977" s="4"/>
      <c r="W1977" s="4"/>
      <c r="X1977" s="4"/>
      <c r="Y1977" s="4"/>
      <c r="Z1977" s="4"/>
      <c r="AA1977" s="4"/>
      <c r="AB1977" s="5"/>
    </row>
    <row r="1978" spans="1:28" x14ac:dyDescent="0.35">
      <c r="A1978" s="3"/>
      <c r="B1978" s="4"/>
      <c r="C1978" s="4"/>
      <c r="D1978" s="4"/>
      <c r="E1978" s="4"/>
      <c r="F1978" s="4"/>
      <c r="G1978" s="4"/>
      <c r="H1978" s="4"/>
      <c r="I1978" s="4"/>
      <c r="J1978" s="4"/>
      <c r="K1978" s="4"/>
      <c r="L1978" s="4"/>
      <c r="M1978" s="4"/>
      <c r="N1978" s="4"/>
      <c r="O1978" s="4"/>
      <c r="P1978" s="4"/>
      <c r="Q1978" s="4"/>
      <c r="R1978" s="4"/>
      <c r="S1978" s="4"/>
      <c r="T1978" s="4"/>
      <c r="U1978" s="4"/>
      <c r="V1978" s="4"/>
      <c r="W1978" s="4"/>
      <c r="X1978" s="4"/>
      <c r="Y1978" s="4"/>
      <c r="Z1978" s="4"/>
      <c r="AA1978" s="4"/>
      <c r="AB1978" s="5"/>
    </row>
    <row r="1979" spans="1:28" x14ac:dyDescent="0.35">
      <c r="A1979" s="3"/>
      <c r="B1979" s="4"/>
      <c r="C1979" s="4"/>
      <c r="D1979" s="4"/>
      <c r="E1979" s="4"/>
      <c r="F1979" s="4"/>
      <c r="G1979" s="4"/>
      <c r="H1979" s="4"/>
      <c r="I1979" s="4"/>
      <c r="J1979" s="4"/>
      <c r="K1979" s="4"/>
      <c r="L1979" s="4"/>
      <c r="M1979" s="4"/>
      <c r="N1979" s="4"/>
      <c r="O1979" s="4"/>
      <c r="P1979" s="4"/>
      <c r="Q1979" s="4"/>
      <c r="R1979" s="4"/>
      <c r="S1979" s="4"/>
      <c r="T1979" s="4"/>
      <c r="U1979" s="4"/>
      <c r="V1979" s="4"/>
      <c r="W1979" s="4"/>
      <c r="X1979" s="4"/>
      <c r="Y1979" s="4"/>
      <c r="Z1979" s="4"/>
      <c r="AA1979" s="4"/>
      <c r="AB1979" s="5"/>
    </row>
    <row r="1980" spans="1:28" x14ac:dyDescent="0.35">
      <c r="A1980" s="3"/>
      <c r="B1980" s="4"/>
      <c r="C1980" s="4"/>
      <c r="D1980" s="4"/>
      <c r="E1980" s="4"/>
      <c r="F1980" s="4"/>
      <c r="G1980" s="4"/>
      <c r="H1980" s="4"/>
      <c r="I1980" s="4"/>
      <c r="J1980" s="4"/>
      <c r="K1980" s="4"/>
      <c r="L1980" s="4"/>
      <c r="M1980" s="4"/>
      <c r="N1980" s="4"/>
      <c r="O1980" s="4"/>
      <c r="P1980" s="4"/>
      <c r="Q1980" s="4"/>
      <c r="R1980" s="4"/>
      <c r="S1980" s="4"/>
      <c r="T1980" s="4"/>
      <c r="U1980" s="4"/>
      <c r="V1980" s="4"/>
      <c r="W1980" s="4"/>
      <c r="X1980" s="4"/>
      <c r="Y1980" s="4"/>
      <c r="Z1980" s="4"/>
      <c r="AA1980" s="4"/>
      <c r="AB1980" s="5"/>
    </row>
    <row r="1981" spans="1:28" x14ac:dyDescent="0.35">
      <c r="A1981" s="3"/>
      <c r="B1981" s="4"/>
      <c r="C1981" s="4"/>
      <c r="D1981" s="4"/>
      <c r="E1981" s="4"/>
      <c r="F1981" s="4"/>
      <c r="G1981" s="4"/>
      <c r="H1981" s="4"/>
      <c r="I1981" s="4"/>
      <c r="J1981" s="4"/>
      <c r="K1981" s="4"/>
      <c r="L1981" s="4"/>
      <c r="M1981" s="4"/>
      <c r="N1981" s="4"/>
      <c r="O1981" s="4"/>
      <c r="P1981" s="4"/>
      <c r="Q1981" s="4"/>
      <c r="R1981" s="4"/>
      <c r="S1981" s="4"/>
      <c r="T1981" s="4"/>
      <c r="U1981" s="4"/>
      <c r="V1981" s="4"/>
      <c r="W1981" s="4"/>
      <c r="X1981" s="4"/>
      <c r="Y1981" s="4"/>
      <c r="Z1981" s="4"/>
      <c r="AA1981" s="4"/>
      <c r="AB1981" s="5"/>
    </row>
    <row r="1982" spans="1:28" x14ac:dyDescent="0.35">
      <c r="A1982" s="3"/>
      <c r="B1982" s="4"/>
      <c r="C1982" s="4"/>
      <c r="D1982" s="4"/>
      <c r="E1982" s="4"/>
      <c r="F1982" s="4"/>
      <c r="G1982" s="4"/>
      <c r="H1982" s="4"/>
      <c r="I1982" s="4"/>
      <c r="J1982" s="4"/>
      <c r="K1982" s="4"/>
      <c r="L1982" s="4"/>
      <c r="M1982" s="4"/>
      <c r="N1982" s="4"/>
      <c r="O1982" s="4"/>
      <c r="P1982" s="4"/>
      <c r="Q1982" s="4"/>
      <c r="R1982" s="4"/>
      <c r="S1982" s="4"/>
      <c r="T1982" s="4"/>
      <c r="U1982" s="4"/>
      <c r="V1982" s="4"/>
      <c r="W1982" s="4"/>
      <c r="X1982" s="4"/>
      <c r="Y1982" s="4"/>
      <c r="Z1982" s="4"/>
      <c r="AA1982" s="4"/>
      <c r="AB1982" s="5"/>
    </row>
    <row r="1983" spans="1:28" x14ac:dyDescent="0.35">
      <c r="A1983" s="3"/>
      <c r="B1983" s="4"/>
      <c r="C1983" s="4"/>
      <c r="D1983" s="4"/>
      <c r="E1983" s="4"/>
      <c r="F1983" s="4"/>
      <c r="G1983" s="4"/>
      <c r="H1983" s="4"/>
      <c r="I1983" s="4"/>
      <c r="J1983" s="4"/>
      <c r="K1983" s="4"/>
      <c r="L1983" s="4"/>
      <c r="M1983" s="4"/>
      <c r="N1983" s="4"/>
      <c r="O1983" s="4"/>
      <c r="P1983" s="4"/>
      <c r="Q1983" s="4"/>
      <c r="R1983" s="4"/>
      <c r="S1983" s="4"/>
      <c r="T1983" s="4"/>
      <c r="U1983" s="4"/>
      <c r="V1983" s="4"/>
      <c r="W1983" s="4"/>
      <c r="X1983" s="4"/>
      <c r="Y1983" s="4"/>
      <c r="Z1983" s="4"/>
      <c r="AA1983" s="4"/>
      <c r="AB1983" s="5"/>
    </row>
    <row r="1984" spans="1:28" x14ac:dyDescent="0.35">
      <c r="A1984" s="3"/>
      <c r="B1984" s="4"/>
      <c r="C1984" s="4"/>
      <c r="D1984" s="4"/>
      <c r="E1984" s="4"/>
      <c r="F1984" s="4"/>
      <c r="G1984" s="4"/>
      <c r="H1984" s="4"/>
      <c r="I1984" s="4"/>
      <c r="J1984" s="4"/>
      <c r="K1984" s="4"/>
      <c r="L1984" s="4"/>
      <c r="M1984" s="4"/>
      <c r="N1984" s="4"/>
      <c r="O1984" s="4"/>
      <c r="P1984" s="4"/>
      <c r="Q1984" s="4"/>
      <c r="R1984" s="4"/>
      <c r="S1984" s="4"/>
      <c r="T1984" s="4"/>
      <c r="U1984" s="4"/>
      <c r="V1984" s="4"/>
      <c r="W1984" s="4"/>
      <c r="X1984" s="4"/>
      <c r="Y1984" s="4"/>
      <c r="Z1984" s="4"/>
      <c r="AA1984" s="4"/>
      <c r="AB1984" s="5"/>
    </row>
    <row r="1985" spans="1:28" x14ac:dyDescent="0.35">
      <c r="A1985" s="3"/>
      <c r="B1985" s="4"/>
      <c r="C1985" s="4"/>
      <c r="D1985" s="4"/>
      <c r="E1985" s="4"/>
      <c r="F1985" s="4"/>
      <c r="G1985" s="4"/>
      <c r="H1985" s="4"/>
      <c r="I1985" s="4"/>
      <c r="J1985" s="4"/>
      <c r="K1985" s="4"/>
      <c r="L1985" s="4"/>
      <c r="M1985" s="4"/>
      <c r="N1985" s="4"/>
      <c r="O1985" s="4"/>
      <c r="P1985" s="4"/>
      <c r="Q1985" s="4"/>
      <c r="R1985" s="4"/>
      <c r="S1985" s="4"/>
      <c r="T1985" s="4"/>
      <c r="U1985" s="4"/>
      <c r="V1985" s="4"/>
      <c r="W1985" s="4"/>
      <c r="X1985" s="4"/>
      <c r="Y1985" s="4"/>
      <c r="Z1985" s="4"/>
      <c r="AA1985" s="4"/>
      <c r="AB1985" s="5"/>
    </row>
    <row r="1986" spans="1:28" x14ac:dyDescent="0.35">
      <c r="A1986" s="3"/>
      <c r="B1986" s="4"/>
      <c r="C1986" s="4"/>
      <c r="D1986" s="4"/>
      <c r="E1986" s="4"/>
      <c r="F1986" s="4"/>
      <c r="G1986" s="4"/>
      <c r="H1986" s="4"/>
      <c r="I1986" s="4"/>
      <c r="J1986" s="4"/>
      <c r="K1986" s="4"/>
      <c r="L1986" s="4"/>
      <c r="M1986" s="4"/>
      <c r="N1986" s="4"/>
      <c r="O1986" s="4"/>
      <c r="P1986" s="4"/>
      <c r="Q1986" s="4"/>
      <c r="R1986" s="4"/>
      <c r="S1986" s="4"/>
      <c r="T1986" s="4"/>
      <c r="U1986" s="4"/>
      <c r="V1986" s="4"/>
      <c r="W1986" s="4"/>
      <c r="X1986" s="4"/>
      <c r="Y1986" s="4"/>
      <c r="Z1986" s="4"/>
      <c r="AA1986" s="4"/>
      <c r="AB1986" s="5"/>
    </row>
    <row r="1987" spans="1:28" x14ac:dyDescent="0.35">
      <c r="A1987" s="3"/>
      <c r="B1987" s="4"/>
      <c r="C1987" s="4"/>
      <c r="D1987" s="4"/>
      <c r="E1987" s="4"/>
      <c r="F1987" s="4"/>
      <c r="G1987" s="4"/>
      <c r="H1987" s="4"/>
      <c r="I1987" s="4"/>
      <c r="J1987" s="4"/>
      <c r="K1987" s="4"/>
      <c r="L1987" s="4"/>
      <c r="M1987" s="4"/>
      <c r="N1987" s="4"/>
      <c r="O1987" s="4"/>
      <c r="P1987" s="4"/>
      <c r="Q1987" s="4"/>
      <c r="R1987" s="4"/>
      <c r="S1987" s="4"/>
      <c r="T1987" s="4"/>
      <c r="U1987" s="4"/>
      <c r="V1987" s="4"/>
      <c r="W1987" s="4"/>
      <c r="X1987" s="4"/>
      <c r="Y1987" s="4"/>
      <c r="Z1987" s="4"/>
      <c r="AA1987" s="4"/>
      <c r="AB1987" s="5"/>
    </row>
    <row r="1988" spans="1:28" x14ac:dyDescent="0.35">
      <c r="A1988" s="3"/>
      <c r="B1988" s="4"/>
      <c r="C1988" s="4"/>
      <c r="D1988" s="4"/>
      <c r="E1988" s="4"/>
      <c r="F1988" s="4"/>
      <c r="G1988" s="4"/>
      <c r="H1988" s="4"/>
      <c r="I1988" s="4"/>
      <c r="J1988" s="4"/>
      <c r="K1988" s="4"/>
      <c r="L1988" s="4"/>
      <c r="M1988" s="4"/>
      <c r="N1988" s="4"/>
      <c r="O1988" s="4"/>
      <c r="P1988" s="4"/>
      <c r="Q1988" s="4"/>
      <c r="R1988" s="4"/>
      <c r="S1988" s="4"/>
      <c r="T1988" s="4"/>
      <c r="U1988" s="4"/>
      <c r="V1988" s="4"/>
      <c r="W1988" s="4"/>
      <c r="X1988" s="4"/>
      <c r="Y1988" s="4"/>
      <c r="Z1988" s="4"/>
      <c r="AA1988" s="4"/>
      <c r="AB1988" s="5"/>
    </row>
    <row r="1989" spans="1:28" x14ac:dyDescent="0.35">
      <c r="A1989" s="3"/>
      <c r="B1989" s="4"/>
      <c r="C1989" s="4"/>
      <c r="D1989" s="4"/>
      <c r="E1989" s="4"/>
      <c r="F1989" s="4"/>
      <c r="G1989" s="4"/>
      <c r="H1989" s="4"/>
      <c r="I1989" s="4"/>
      <c r="J1989" s="4"/>
      <c r="K1989" s="4"/>
      <c r="L1989" s="4"/>
      <c r="M1989" s="4"/>
      <c r="N1989" s="4"/>
      <c r="O1989" s="4"/>
      <c r="P1989" s="4"/>
      <c r="Q1989" s="4"/>
      <c r="R1989" s="4"/>
      <c r="S1989" s="4"/>
      <c r="T1989" s="4"/>
      <c r="U1989" s="4"/>
      <c r="V1989" s="4"/>
      <c r="W1989" s="4"/>
      <c r="X1989" s="4"/>
      <c r="Y1989" s="4"/>
      <c r="Z1989" s="4"/>
      <c r="AA1989" s="4"/>
      <c r="AB1989" s="5"/>
    </row>
    <row r="1990" spans="1:28" x14ac:dyDescent="0.35">
      <c r="A1990" s="3"/>
      <c r="B1990" s="4"/>
      <c r="C1990" s="4"/>
      <c r="D1990" s="4"/>
      <c r="E1990" s="4"/>
      <c r="F1990" s="4"/>
      <c r="G1990" s="4"/>
      <c r="H1990" s="4"/>
      <c r="I1990" s="4"/>
      <c r="J1990" s="4"/>
      <c r="K1990" s="4"/>
      <c r="L1990" s="4"/>
      <c r="M1990" s="4"/>
      <c r="N1990" s="4"/>
      <c r="O1990" s="4"/>
      <c r="P1990" s="4"/>
      <c r="Q1990" s="4"/>
      <c r="R1990" s="4"/>
      <c r="S1990" s="4"/>
      <c r="T1990" s="4"/>
      <c r="U1990" s="4"/>
      <c r="V1990" s="4"/>
      <c r="W1990" s="4"/>
      <c r="X1990" s="4"/>
      <c r="Y1990" s="4"/>
      <c r="Z1990" s="4"/>
      <c r="AA1990" s="4"/>
      <c r="AB1990" s="5"/>
    </row>
    <row r="1991" spans="1:28" x14ac:dyDescent="0.35">
      <c r="A1991" s="3"/>
      <c r="B1991" s="4"/>
      <c r="C1991" s="4"/>
      <c r="D1991" s="4"/>
      <c r="E1991" s="4"/>
      <c r="F1991" s="4"/>
      <c r="G1991" s="4"/>
      <c r="H1991" s="4"/>
      <c r="I1991" s="4"/>
      <c r="J1991" s="4"/>
      <c r="K1991" s="4"/>
      <c r="L1991" s="4"/>
      <c r="M1991" s="4"/>
      <c r="N1991" s="4"/>
      <c r="O1991" s="4"/>
      <c r="P1991" s="4"/>
      <c r="Q1991" s="4"/>
      <c r="R1991" s="4"/>
      <c r="S1991" s="4"/>
      <c r="T1991" s="4"/>
      <c r="U1991" s="4"/>
      <c r="V1991" s="4"/>
      <c r="W1991" s="4"/>
      <c r="X1991" s="4"/>
      <c r="Y1991" s="4"/>
      <c r="Z1991" s="4"/>
      <c r="AA1991" s="4"/>
      <c r="AB1991" s="5"/>
    </row>
    <row r="1992" spans="1:28" x14ac:dyDescent="0.35">
      <c r="A1992" s="3"/>
      <c r="B1992" s="4"/>
      <c r="C1992" s="4"/>
      <c r="D1992" s="4"/>
      <c r="E1992" s="4"/>
      <c r="F1992" s="4"/>
      <c r="G1992" s="4"/>
      <c r="H1992" s="4"/>
      <c r="I1992" s="4"/>
      <c r="J1992" s="4"/>
      <c r="K1992" s="4"/>
      <c r="L1992" s="4"/>
      <c r="M1992" s="4"/>
      <c r="N1992" s="4"/>
      <c r="O1992" s="4"/>
      <c r="P1992" s="4"/>
      <c r="Q1992" s="4"/>
      <c r="R1992" s="4"/>
      <c r="S1992" s="4"/>
      <c r="T1992" s="4"/>
      <c r="U1992" s="4"/>
      <c r="V1992" s="4"/>
      <c r="W1992" s="4"/>
      <c r="X1992" s="4"/>
      <c r="Y1992" s="4"/>
      <c r="Z1992" s="4"/>
      <c r="AA1992" s="4"/>
      <c r="AB1992" s="5"/>
    </row>
    <row r="1993" spans="1:28" x14ac:dyDescent="0.35">
      <c r="A1993" s="3"/>
      <c r="B1993" s="4"/>
      <c r="C1993" s="4"/>
      <c r="D1993" s="4"/>
      <c r="E1993" s="4"/>
      <c r="F1993" s="4"/>
      <c r="G1993" s="4"/>
      <c r="H1993" s="4"/>
      <c r="I1993" s="4"/>
      <c r="J1993" s="4"/>
      <c r="K1993" s="4"/>
      <c r="L1993" s="4"/>
      <c r="M1993" s="4"/>
      <c r="N1993" s="4"/>
      <c r="O1993" s="4"/>
      <c r="P1993" s="4"/>
      <c r="Q1993" s="4"/>
      <c r="R1993" s="4"/>
      <c r="S1993" s="4"/>
      <c r="T1993" s="4"/>
      <c r="U1993" s="4"/>
      <c r="V1993" s="4"/>
      <c r="W1993" s="4"/>
      <c r="X1993" s="4"/>
      <c r="Y1993" s="4"/>
      <c r="Z1993" s="4"/>
      <c r="AA1993" s="4"/>
      <c r="AB1993" s="5"/>
    </row>
    <row r="1994" spans="1:28" x14ac:dyDescent="0.35">
      <c r="A1994" s="3"/>
      <c r="B1994" s="4"/>
      <c r="C1994" s="4"/>
      <c r="D1994" s="4"/>
      <c r="E1994" s="4"/>
      <c r="F1994" s="4"/>
      <c r="G1994" s="4"/>
      <c r="H1994" s="4"/>
      <c r="I1994" s="4"/>
      <c r="J1994" s="4"/>
      <c r="K1994" s="4"/>
      <c r="L1994" s="4"/>
      <c r="M1994" s="4"/>
      <c r="N1994" s="4"/>
      <c r="O1994" s="4"/>
      <c r="P1994" s="4"/>
      <c r="Q1994" s="4"/>
      <c r="R1994" s="4"/>
      <c r="S1994" s="4"/>
      <c r="T1994" s="4"/>
      <c r="U1994" s="4"/>
      <c r="V1994" s="4"/>
      <c r="W1994" s="4"/>
      <c r="X1994" s="4"/>
      <c r="Y1994" s="4"/>
      <c r="Z1994" s="4"/>
      <c r="AA1994" s="4"/>
      <c r="AB1994" s="5"/>
    </row>
    <row r="1995" spans="1:28" x14ac:dyDescent="0.35">
      <c r="A1995" s="3"/>
      <c r="B1995" s="4"/>
      <c r="C1995" s="4"/>
      <c r="D1995" s="4"/>
      <c r="E1995" s="4"/>
      <c r="F1995" s="4"/>
      <c r="G1995" s="4"/>
      <c r="H1995" s="4"/>
      <c r="I1995" s="4"/>
      <c r="J1995" s="4"/>
      <c r="K1995" s="4"/>
      <c r="L1995" s="4"/>
      <c r="M1995" s="4"/>
      <c r="N1995" s="4"/>
      <c r="O1995" s="4"/>
      <c r="P1995" s="4"/>
      <c r="Q1995" s="4"/>
      <c r="R1995" s="4"/>
      <c r="S1995" s="4"/>
      <c r="T1995" s="4"/>
      <c r="U1995" s="4"/>
      <c r="V1995" s="4"/>
      <c r="W1995" s="4"/>
      <c r="X1995" s="4"/>
      <c r="Y1995" s="4"/>
      <c r="Z1995" s="4"/>
      <c r="AA1995" s="4"/>
      <c r="AB1995" s="5"/>
    </row>
    <row r="1996" spans="1:28" x14ac:dyDescent="0.35">
      <c r="A1996" s="3"/>
      <c r="B1996" s="4"/>
      <c r="C1996" s="4"/>
      <c r="D1996" s="4"/>
      <c r="E1996" s="4"/>
      <c r="F1996" s="4"/>
      <c r="G1996" s="4"/>
      <c r="H1996" s="4"/>
      <c r="I1996" s="4"/>
      <c r="J1996" s="4"/>
      <c r="K1996" s="4"/>
      <c r="L1996" s="4"/>
      <c r="M1996" s="4"/>
      <c r="N1996" s="4"/>
      <c r="O1996" s="4"/>
      <c r="P1996" s="4"/>
      <c r="Q1996" s="4"/>
      <c r="R1996" s="4"/>
      <c r="S1996" s="4"/>
      <c r="T1996" s="4"/>
      <c r="U1996" s="4"/>
      <c r="V1996" s="4"/>
      <c r="W1996" s="4"/>
      <c r="X1996" s="4"/>
      <c r="Y1996" s="4"/>
      <c r="Z1996" s="4"/>
      <c r="AA1996" s="4"/>
      <c r="AB1996" s="5"/>
    </row>
    <row r="1997" spans="1:28" x14ac:dyDescent="0.35">
      <c r="A1997" s="3"/>
      <c r="B1997" s="4"/>
      <c r="C1997" s="4"/>
      <c r="D1997" s="4"/>
      <c r="E1997" s="4"/>
      <c r="F1997" s="4"/>
      <c r="G1997" s="4"/>
      <c r="H1997" s="4"/>
      <c r="I1997" s="4"/>
      <c r="J1997" s="4"/>
      <c r="K1997" s="4"/>
      <c r="L1997" s="4"/>
      <c r="M1997" s="4"/>
      <c r="N1997" s="4"/>
      <c r="O1997" s="4"/>
      <c r="P1997" s="4"/>
      <c r="Q1997" s="4"/>
      <c r="R1997" s="4"/>
      <c r="S1997" s="4"/>
      <c r="T1997" s="4"/>
      <c r="U1997" s="4"/>
      <c r="V1997" s="4"/>
      <c r="W1997" s="4"/>
      <c r="X1997" s="4"/>
      <c r="Y1997" s="4"/>
      <c r="Z1997" s="4"/>
      <c r="AA1997" s="4"/>
      <c r="AB1997" s="5"/>
    </row>
    <row r="1998" spans="1:28" x14ac:dyDescent="0.35">
      <c r="A1998" s="3"/>
      <c r="B1998" s="4"/>
      <c r="C1998" s="4"/>
      <c r="D1998" s="4"/>
      <c r="E1998" s="4"/>
      <c r="F1998" s="4"/>
      <c r="G1998" s="4"/>
      <c r="H1998" s="4"/>
      <c r="I1998" s="4"/>
      <c r="J1998" s="4"/>
      <c r="K1998" s="4"/>
      <c r="L1998" s="4"/>
      <c r="M1998" s="4"/>
      <c r="N1998" s="4"/>
      <c r="O1998" s="4"/>
      <c r="P1998" s="4"/>
      <c r="Q1998" s="4"/>
      <c r="R1998" s="4"/>
      <c r="S1998" s="4"/>
      <c r="T1998" s="4"/>
      <c r="U1998" s="4"/>
      <c r="V1998" s="4"/>
      <c r="W1998" s="4"/>
      <c r="X1998" s="4"/>
      <c r="Y1998" s="4"/>
      <c r="Z1998" s="4"/>
      <c r="AA1998" s="4"/>
      <c r="AB1998" s="5"/>
    </row>
    <row r="1999" spans="1:28" x14ac:dyDescent="0.35">
      <c r="A1999" s="3"/>
      <c r="B1999" s="4"/>
      <c r="C1999" s="4"/>
      <c r="D1999" s="4"/>
      <c r="E1999" s="4"/>
      <c r="F1999" s="4"/>
      <c r="G1999" s="4"/>
      <c r="H1999" s="4"/>
      <c r="I1999" s="4"/>
      <c r="J1999" s="4"/>
      <c r="K1999" s="4"/>
      <c r="L1999" s="4"/>
      <c r="M1999" s="4"/>
      <c r="N1999" s="4"/>
      <c r="O1999" s="4"/>
      <c r="P1999" s="4"/>
      <c r="Q1999" s="4"/>
      <c r="R1999" s="4"/>
      <c r="S1999" s="4"/>
      <c r="T1999" s="4"/>
      <c r="U1999" s="4"/>
      <c r="V1999" s="4"/>
      <c r="W1999" s="4"/>
      <c r="X1999" s="4"/>
      <c r="Y1999" s="4"/>
      <c r="Z1999" s="4"/>
      <c r="AA1999" s="4"/>
      <c r="AB1999" s="5"/>
    </row>
    <row r="2000" spans="1:28" x14ac:dyDescent="0.35">
      <c r="A2000" s="3"/>
      <c r="B2000" s="4"/>
      <c r="C2000" s="4"/>
      <c r="D2000" s="4"/>
      <c r="E2000" s="4"/>
      <c r="F2000" s="4"/>
      <c r="G2000" s="4"/>
      <c r="H2000" s="4"/>
      <c r="I2000" s="4"/>
      <c r="J2000" s="4"/>
      <c r="K2000" s="4"/>
      <c r="L2000" s="4"/>
      <c r="M2000" s="4"/>
      <c r="N2000" s="4"/>
      <c r="O2000" s="4"/>
      <c r="P2000" s="4"/>
      <c r="Q2000" s="4"/>
      <c r="R2000" s="4"/>
      <c r="S2000" s="4"/>
      <c r="T2000" s="4"/>
      <c r="U2000" s="4"/>
      <c r="V2000" s="4"/>
      <c r="W2000" s="4"/>
      <c r="X2000" s="4"/>
      <c r="Y2000" s="4"/>
      <c r="Z2000" s="4"/>
      <c r="AA2000" s="4"/>
      <c r="AB2000" s="5"/>
    </row>
    <row r="2001" spans="1:28" x14ac:dyDescent="0.35">
      <c r="A2001" s="3"/>
      <c r="B2001" s="4"/>
      <c r="C2001" s="4"/>
      <c r="D2001" s="4"/>
      <c r="E2001" s="4"/>
      <c r="F2001" s="4"/>
      <c r="G2001" s="4"/>
      <c r="H2001" s="4"/>
      <c r="I2001" s="4"/>
      <c r="J2001" s="4"/>
      <c r="K2001" s="4"/>
      <c r="L2001" s="4"/>
      <c r="M2001" s="4"/>
      <c r="N2001" s="4"/>
      <c r="O2001" s="4"/>
      <c r="P2001" s="4"/>
      <c r="Q2001" s="4"/>
      <c r="R2001" s="4"/>
      <c r="S2001" s="4"/>
      <c r="T2001" s="4"/>
      <c r="U2001" s="4"/>
      <c r="V2001" s="4"/>
      <c r="W2001" s="4"/>
      <c r="X2001" s="4"/>
      <c r="Y2001" s="4"/>
      <c r="Z2001" s="4"/>
      <c r="AA2001" s="4"/>
      <c r="AB2001" s="5"/>
    </row>
    <row r="2002" spans="1:28" x14ac:dyDescent="0.35">
      <c r="A2002" s="3"/>
      <c r="B2002" s="4"/>
      <c r="C2002" s="4"/>
      <c r="D2002" s="4"/>
      <c r="E2002" s="4"/>
      <c r="F2002" s="4"/>
      <c r="G2002" s="4"/>
      <c r="H2002" s="4"/>
      <c r="I2002" s="4"/>
      <c r="J2002" s="4"/>
      <c r="K2002" s="4"/>
      <c r="L2002" s="4"/>
      <c r="M2002" s="4"/>
      <c r="N2002" s="4"/>
      <c r="O2002" s="4"/>
      <c r="P2002" s="4"/>
      <c r="Q2002" s="4"/>
      <c r="R2002" s="4"/>
      <c r="S2002" s="4"/>
      <c r="T2002" s="4"/>
      <c r="U2002" s="4"/>
      <c r="V2002" s="4"/>
      <c r="W2002" s="4"/>
      <c r="X2002" s="4"/>
      <c r="Y2002" s="4"/>
      <c r="Z2002" s="4"/>
      <c r="AA2002" s="4"/>
      <c r="AB2002" s="5"/>
    </row>
    <row r="2003" spans="1:28" x14ac:dyDescent="0.35">
      <c r="A2003" s="3"/>
      <c r="B2003" s="4"/>
      <c r="C2003" s="4"/>
      <c r="D2003" s="4"/>
      <c r="E2003" s="4"/>
      <c r="F2003" s="4"/>
      <c r="G2003" s="4"/>
      <c r="H2003" s="4"/>
      <c r="I2003" s="4"/>
      <c r="J2003" s="4"/>
      <c r="K2003" s="4"/>
      <c r="L2003" s="4"/>
      <c r="M2003" s="4"/>
      <c r="N2003" s="4"/>
      <c r="O2003" s="4"/>
      <c r="P2003" s="4"/>
      <c r="Q2003" s="4"/>
      <c r="R2003" s="4"/>
      <c r="S2003" s="4"/>
      <c r="T2003" s="4"/>
      <c r="U2003" s="4"/>
      <c r="V2003" s="4"/>
      <c r="W2003" s="4"/>
      <c r="X2003" s="4"/>
      <c r="Y2003" s="4"/>
      <c r="Z2003" s="4"/>
      <c r="AA2003" s="4"/>
      <c r="AB2003" s="5"/>
    </row>
    <row r="2004" spans="1:28" x14ac:dyDescent="0.35">
      <c r="A2004" s="3"/>
      <c r="B2004" s="4"/>
      <c r="C2004" s="4"/>
      <c r="D2004" s="4"/>
      <c r="E2004" s="4"/>
      <c r="F2004" s="4"/>
      <c r="G2004" s="4"/>
      <c r="H2004" s="4"/>
      <c r="I2004" s="4"/>
      <c r="J2004" s="4"/>
      <c r="K2004" s="4"/>
      <c r="L2004" s="4"/>
      <c r="M2004" s="4"/>
      <c r="N2004" s="4"/>
      <c r="O2004" s="4"/>
      <c r="P2004" s="4"/>
      <c r="Q2004" s="4"/>
      <c r="R2004" s="4"/>
      <c r="S2004" s="4"/>
      <c r="T2004" s="4"/>
      <c r="U2004" s="4"/>
      <c r="V2004" s="4"/>
      <c r="W2004" s="4"/>
      <c r="X2004" s="4"/>
      <c r="Y2004" s="4"/>
      <c r="Z2004" s="4"/>
      <c r="AA2004" s="4"/>
      <c r="AB2004" s="5"/>
    </row>
    <row r="2005" spans="1:28" x14ac:dyDescent="0.35">
      <c r="A2005" s="3"/>
      <c r="B2005" s="4"/>
      <c r="C2005" s="4"/>
      <c r="D2005" s="4"/>
      <c r="E2005" s="4"/>
      <c r="F2005" s="4"/>
      <c r="G2005" s="4"/>
      <c r="H2005" s="4"/>
      <c r="I2005" s="4"/>
      <c r="J2005" s="4"/>
      <c r="K2005" s="4"/>
      <c r="L2005" s="4"/>
      <c r="M2005" s="4"/>
      <c r="N2005" s="4"/>
      <c r="O2005" s="4"/>
      <c r="P2005" s="4"/>
      <c r="Q2005" s="4"/>
      <c r="R2005" s="4"/>
      <c r="S2005" s="4"/>
      <c r="T2005" s="4"/>
      <c r="U2005" s="4"/>
      <c r="V2005" s="4"/>
      <c r="W2005" s="4"/>
      <c r="X2005" s="4"/>
      <c r="Y2005" s="4"/>
      <c r="Z2005" s="4"/>
      <c r="AA2005" s="4"/>
      <c r="AB2005" s="5"/>
    </row>
    <row r="2006" spans="1:28" x14ac:dyDescent="0.35">
      <c r="A2006" s="3"/>
      <c r="B2006" s="4"/>
      <c r="C2006" s="4"/>
      <c r="D2006" s="4"/>
      <c r="E2006" s="4"/>
      <c r="F2006" s="4"/>
      <c r="G2006" s="4"/>
      <c r="H2006" s="4"/>
      <c r="I2006" s="4"/>
      <c r="J2006" s="4"/>
      <c r="K2006" s="4"/>
      <c r="L2006" s="4"/>
      <c r="M2006" s="4"/>
      <c r="N2006" s="4"/>
      <c r="O2006" s="4"/>
      <c r="P2006" s="4"/>
      <c r="Q2006" s="4"/>
      <c r="R2006" s="4"/>
      <c r="S2006" s="4"/>
      <c r="T2006" s="4"/>
      <c r="U2006" s="4"/>
      <c r="V2006" s="4"/>
      <c r="W2006" s="4"/>
      <c r="X2006" s="4"/>
      <c r="Y2006" s="4"/>
      <c r="Z2006" s="4"/>
      <c r="AA2006" s="4"/>
      <c r="AB2006" s="5"/>
    </row>
    <row r="2007" spans="1:28" x14ac:dyDescent="0.35">
      <c r="A2007" s="3"/>
      <c r="B2007" s="4"/>
      <c r="C2007" s="4"/>
      <c r="D2007" s="4"/>
      <c r="E2007" s="4"/>
      <c r="F2007" s="4"/>
      <c r="G2007" s="4"/>
      <c r="H2007" s="4"/>
      <c r="I2007" s="4"/>
      <c r="J2007" s="4"/>
      <c r="K2007" s="4"/>
      <c r="L2007" s="4"/>
      <c r="M2007" s="4"/>
      <c r="N2007" s="4"/>
      <c r="O2007" s="4"/>
      <c r="P2007" s="4"/>
      <c r="Q2007" s="4"/>
      <c r="R2007" s="4"/>
      <c r="S2007" s="4"/>
      <c r="T2007" s="4"/>
      <c r="U2007" s="4"/>
      <c r="V2007" s="4"/>
      <c r="W2007" s="4"/>
      <c r="X2007" s="4"/>
      <c r="Y2007" s="4"/>
      <c r="Z2007" s="4"/>
      <c r="AA2007" s="4"/>
      <c r="AB2007" s="5"/>
    </row>
    <row r="2008" spans="1:28" x14ac:dyDescent="0.35">
      <c r="A2008" s="3"/>
      <c r="B2008" s="4"/>
      <c r="C2008" s="4"/>
      <c r="D2008" s="4"/>
      <c r="E2008" s="4"/>
      <c r="F2008" s="4"/>
      <c r="G2008" s="4"/>
      <c r="H2008" s="4"/>
      <c r="I2008" s="4"/>
      <c r="J2008" s="4"/>
      <c r="K2008" s="4"/>
      <c r="L2008" s="4"/>
      <c r="M2008" s="4"/>
      <c r="N2008" s="4"/>
      <c r="O2008" s="4"/>
      <c r="P2008" s="4"/>
      <c r="Q2008" s="4"/>
      <c r="R2008" s="4"/>
      <c r="S2008" s="4"/>
      <c r="T2008" s="4"/>
      <c r="U2008" s="4"/>
      <c r="V2008" s="4"/>
      <c r="W2008" s="4"/>
      <c r="X2008" s="4"/>
      <c r="Y2008" s="4"/>
      <c r="Z2008" s="4"/>
      <c r="AA2008" s="4"/>
      <c r="AB2008" s="5"/>
    </row>
    <row r="2009" spans="1:28" x14ac:dyDescent="0.35">
      <c r="A2009" s="3"/>
      <c r="B2009" s="4"/>
      <c r="C2009" s="4"/>
      <c r="D2009" s="4"/>
      <c r="E2009" s="4"/>
      <c r="F2009" s="4"/>
      <c r="G2009" s="4"/>
      <c r="H2009" s="4"/>
      <c r="I2009" s="4"/>
      <c r="J2009" s="4"/>
      <c r="K2009" s="4"/>
      <c r="L2009" s="4"/>
      <c r="M2009" s="4"/>
      <c r="N2009" s="4"/>
      <c r="O2009" s="4"/>
      <c r="P2009" s="4"/>
      <c r="Q2009" s="4"/>
      <c r="R2009" s="4"/>
      <c r="S2009" s="4"/>
      <c r="T2009" s="4"/>
      <c r="U2009" s="4"/>
      <c r="V2009" s="4"/>
      <c r="W2009" s="4"/>
      <c r="X2009" s="4"/>
      <c r="Y2009" s="4"/>
      <c r="Z2009" s="4"/>
      <c r="AA2009" s="4"/>
      <c r="AB2009" s="5"/>
    </row>
    <row r="2010" spans="1:28" x14ac:dyDescent="0.35">
      <c r="A2010" s="3"/>
      <c r="B2010" s="4"/>
      <c r="C2010" s="4"/>
      <c r="D2010" s="4"/>
      <c r="E2010" s="4"/>
      <c r="F2010" s="4"/>
      <c r="G2010" s="4"/>
      <c r="H2010" s="4"/>
      <c r="I2010" s="4"/>
      <c r="J2010" s="4"/>
      <c r="K2010" s="4"/>
      <c r="L2010" s="4"/>
      <c r="M2010" s="4"/>
      <c r="N2010" s="4"/>
      <c r="O2010" s="4"/>
      <c r="P2010" s="4"/>
      <c r="Q2010" s="4"/>
      <c r="R2010" s="4"/>
      <c r="S2010" s="4"/>
      <c r="T2010" s="4"/>
      <c r="U2010" s="4"/>
      <c r="V2010" s="4"/>
      <c r="W2010" s="4"/>
      <c r="X2010" s="4"/>
      <c r="Y2010" s="4"/>
      <c r="Z2010" s="4"/>
      <c r="AA2010" s="4"/>
      <c r="AB2010" s="5"/>
    </row>
    <row r="2011" spans="1:28" x14ac:dyDescent="0.35">
      <c r="A2011" s="3"/>
      <c r="B2011" s="4"/>
      <c r="C2011" s="4"/>
      <c r="D2011" s="4"/>
      <c r="E2011" s="4"/>
      <c r="F2011" s="4"/>
      <c r="G2011" s="4"/>
      <c r="H2011" s="4"/>
      <c r="I2011" s="4"/>
      <c r="J2011" s="4"/>
      <c r="K2011" s="4"/>
      <c r="L2011" s="4"/>
      <c r="M2011" s="4"/>
      <c r="N2011" s="4"/>
      <c r="O2011" s="4"/>
      <c r="P2011" s="4"/>
      <c r="Q2011" s="4"/>
      <c r="R2011" s="4"/>
      <c r="S2011" s="4"/>
      <c r="T2011" s="4"/>
      <c r="U2011" s="4"/>
      <c r="V2011" s="4"/>
      <c r="W2011" s="4"/>
      <c r="X2011" s="4"/>
      <c r="Y2011" s="4"/>
      <c r="Z2011" s="4"/>
      <c r="AA2011" s="4"/>
      <c r="AB2011" s="5"/>
    </row>
    <row r="2012" spans="1:28" x14ac:dyDescent="0.35">
      <c r="A2012" s="3"/>
      <c r="B2012" s="4"/>
      <c r="C2012" s="4"/>
      <c r="D2012" s="4"/>
      <c r="E2012" s="4"/>
      <c r="F2012" s="4"/>
      <c r="G2012" s="4"/>
      <c r="H2012" s="4"/>
      <c r="I2012" s="4"/>
      <c r="J2012" s="4"/>
      <c r="K2012" s="4"/>
      <c r="L2012" s="4"/>
      <c r="M2012" s="4"/>
      <c r="N2012" s="4"/>
      <c r="O2012" s="4"/>
      <c r="P2012" s="4"/>
      <c r="Q2012" s="4"/>
      <c r="R2012" s="4"/>
      <c r="S2012" s="4"/>
      <c r="T2012" s="4"/>
      <c r="U2012" s="4"/>
      <c r="V2012" s="4"/>
      <c r="W2012" s="4"/>
      <c r="X2012" s="4"/>
      <c r="Y2012" s="4"/>
      <c r="Z2012" s="4"/>
      <c r="AA2012" s="4"/>
      <c r="AB2012" s="5"/>
    </row>
    <row r="2013" spans="1:28" x14ac:dyDescent="0.35">
      <c r="A2013" s="3"/>
      <c r="B2013" s="4"/>
      <c r="C2013" s="4"/>
      <c r="D2013" s="4"/>
      <c r="E2013" s="4"/>
      <c r="F2013" s="4"/>
      <c r="G2013" s="4"/>
      <c r="H2013" s="4"/>
      <c r="I2013" s="4"/>
      <c r="J2013" s="4"/>
      <c r="K2013" s="4"/>
      <c r="L2013" s="4"/>
      <c r="M2013" s="4"/>
      <c r="N2013" s="4"/>
      <c r="O2013" s="4"/>
      <c r="P2013" s="4"/>
      <c r="Q2013" s="4"/>
      <c r="R2013" s="4"/>
      <c r="S2013" s="4"/>
      <c r="T2013" s="4"/>
      <c r="U2013" s="4"/>
      <c r="V2013" s="4"/>
      <c r="W2013" s="4"/>
      <c r="X2013" s="4"/>
      <c r="Y2013" s="4"/>
      <c r="Z2013" s="4"/>
      <c r="AA2013" s="4"/>
      <c r="AB2013" s="5"/>
    </row>
    <row r="2014" spans="1:28" x14ac:dyDescent="0.35">
      <c r="A2014" s="3"/>
      <c r="B2014" s="4"/>
      <c r="C2014" s="4"/>
      <c r="D2014" s="4"/>
      <c r="E2014" s="4"/>
      <c r="F2014" s="4"/>
      <c r="G2014" s="4"/>
      <c r="H2014" s="4"/>
      <c r="I2014" s="4"/>
      <c r="J2014" s="4"/>
      <c r="K2014" s="4"/>
      <c r="L2014" s="4"/>
      <c r="M2014" s="4"/>
      <c r="N2014" s="4"/>
      <c r="O2014" s="4"/>
      <c r="P2014" s="4"/>
      <c r="Q2014" s="4"/>
      <c r="R2014" s="4"/>
      <c r="S2014" s="4"/>
      <c r="T2014" s="4"/>
      <c r="U2014" s="4"/>
      <c r="V2014" s="4"/>
      <c r="W2014" s="4"/>
      <c r="X2014" s="4"/>
      <c r="Y2014" s="4"/>
      <c r="Z2014" s="4"/>
      <c r="AA2014" s="4"/>
      <c r="AB2014" s="5"/>
    </row>
    <row r="2015" spans="1:28" x14ac:dyDescent="0.35">
      <c r="A2015" s="3"/>
      <c r="B2015" s="4"/>
      <c r="C2015" s="4"/>
      <c r="D2015" s="4"/>
      <c r="E2015" s="4"/>
      <c r="F2015" s="4"/>
      <c r="G2015" s="4"/>
      <c r="H2015" s="4"/>
      <c r="I2015" s="4"/>
      <c r="J2015" s="4"/>
      <c r="K2015" s="4"/>
      <c r="L2015" s="4"/>
      <c r="M2015" s="4"/>
      <c r="N2015" s="4"/>
      <c r="O2015" s="4"/>
      <c r="P2015" s="4"/>
      <c r="Q2015" s="4"/>
      <c r="R2015" s="4"/>
      <c r="S2015" s="4"/>
      <c r="T2015" s="4"/>
      <c r="U2015" s="4"/>
      <c r="V2015" s="4"/>
      <c r="W2015" s="4"/>
      <c r="X2015" s="4"/>
      <c r="Y2015" s="4"/>
      <c r="Z2015" s="4"/>
      <c r="AA2015" s="4"/>
      <c r="AB2015" s="5"/>
    </row>
    <row r="2016" spans="1:28" x14ac:dyDescent="0.35">
      <c r="A2016" s="3"/>
      <c r="B2016" s="4"/>
      <c r="C2016" s="4"/>
      <c r="D2016" s="4"/>
      <c r="E2016" s="4"/>
      <c r="F2016" s="4"/>
      <c r="G2016" s="4"/>
      <c r="H2016" s="4"/>
      <c r="I2016" s="4"/>
      <c r="J2016" s="4"/>
      <c r="K2016" s="4"/>
      <c r="L2016" s="4"/>
      <c r="M2016" s="4"/>
      <c r="N2016" s="4"/>
      <c r="O2016" s="4"/>
      <c r="P2016" s="4"/>
      <c r="Q2016" s="4"/>
      <c r="R2016" s="4"/>
      <c r="S2016" s="4"/>
      <c r="T2016" s="4"/>
      <c r="U2016" s="4"/>
      <c r="V2016" s="4"/>
      <c r="W2016" s="4"/>
      <c r="X2016" s="4"/>
      <c r="Y2016" s="4"/>
      <c r="Z2016" s="4"/>
      <c r="AA2016" s="4"/>
      <c r="AB2016" s="5"/>
    </row>
    <row r="2017" spans="1:28" x14ac:dyDescent="0.35">
      <c r="A2017" s="3"/>
      <c r="B2017" s="4"/>
      <c r="C2017" s="4"/>
      <c r="D2017" s="4"/>
      <c r="E2017" s="4"/>
      <c r="F2017" s="4"/>
      <c r="G2017" s="4"/>
      <c r="H2017" s="4"/>
      <c r="I2017" s="4"/>
      <c r="J2017" s="4"/>
      <c r="K2017" s="4"/>
      <c r="L2017" s="4"/>
      <c r="M2017" s="4"/>
      <c r="N2017" s="4"/>
      <c r="O2017" s="4"/>
      <c r="P2017" s="4"/>
      <c r="Q2017" s="4"/>
      <c r="R2017" s="4"/>
      <c r="S2017" s="4"/>
      <c r="T2017" s="4"/>
      <c r="U2017" s="4"/>
      <c r="V2017" s="4"/>
      <c r="W2017" s="4"/>
      <c r="X2017" s="4"/>
      <c r="Y2017" s="4"/>
      <c r="Z2017" s="4"/>
      <c r="AA2017" s="4"/>
      <c r="AB2017" s="5"/>
    </row>
    <row r="2018" spans="1:28" x14ac:dyDescent="0.35">
      <c r="A2018" s="3"/>
      <c r="B2018" s="4"/>
      <c r="C2018" s="4"/>
      <c r="D2018" s="4"/>
      <c r="E2018" s="4"/>
      <c r="F2018" s="4"/>
      <c r="G2018" s="4"/>
      <c r="H2018" s="4"/>
      <c r="I2018" s="4"/>
      <c r="J2018" s="4"/>
      <c r="K2018" s="4"/>
      <c r="L2018" s="4"/>
      <c r="M2018" s="4"/>
      <c r="N2018" s="4"/>
      <c r="O2018" s="4"/>
      <c r="P2018" s="4"/>
      <c r="Q2018" s="4"/>
      <c r="R2018" s="4"/>
      <c r="S2018" s="4"/>
      <c r="T2018" s="4"/>
      <c r="U2018" s="4"/>
      <c r="V2018" s="4"/>
      <c r="W2018" s="4"/>
      <c r="X2018" s="4"/>
      <c r="Y2018" s="4"/>
      <c r="Z2018" s="4"/>
      <c r="AA2018" s="4"/>
      <c r="AB2018" s="5"/>
    </row>
    <row r="2019" spans="1:28" x14ac:dyDescent="0.35">
      <c r="A2019" s="3"/>
      <c r="B2019" s="4"/>
      <c r="C2019" s="4"/>
      <c r="D2019" s="4"/>
      <c r="E2019" s="4"/>
      <c r="F2019" s="4"/>
      <c r="G2019" s="4"/>
      <c r="H2019" s="4"/>
      <c r="I2019" s="4"/>
      <c r="J2019" s="4"/>
      <c r="K2019" s="4"/>
      <c r="L2019" s="4"/>
      <c r="M2019" s="4"/>
      <c r="N2019" s="4"/>
      <c r="O2019" s="4"/>
      <c r="P2019" s="4"/>
      <c r="Q2019" s="4"/>
      <c r="R2019" s="4"/>
      <c r="S2019" s="4"/>
      <c r="T2019" s="4"/>
      <c r="U2019" s="4"/>
      <c r="V2019" s="4"/>
      <c r="W2019" s="4"/>
      <c r="X2019" s="4"/>
      <c r="Y2019" s="4"/>
      <c r="Z2019" s="4"/>
      <c r="AA2019" s="4"/>
      <c r="AB2019" s="5"/>
    </row>
    <row r="2020" spans="1:28" x14ac:dyDescent="0.35">
      <c r="A2020" s="3"/>
      <c r="B2020" s="4"/>
      <c r="C2020" s="4"/>
      <c r="D2020" s="4"/>
      <c r="E2020" s="4"/>
      <c r="F2020" s="4"/>
      <c r="G2020" s="4"/>
      <c r="H2020" s="4"/>
      <c r="I2020" s="4"/>
      <c r="J2020" s="4"/>
      <c r="K2020" s="4"/>
      <c r="L2020" s="4"/>
      <c r="M2020" s="4"/>
      <c r="N2020" s="4"/>
      <c r="O2020" s="4"/>
      <c r="P2020" s="4"/>
      <c r="Q2020" s="4"/>
      <c r="R2020" s="4"/>
      <c r="S2020" s="4"/>
      <c r="T2020" s="4"/>
      <c r="U2020" s="4"/>
      <c r="V2020" s="4"/>
      <c r="W2020" s="4"/>
      <c r="X2020" s="4"/>
      <c r="Y2020" s="4"/>
      <c r="Z2020" s="4"/>
      <c r="AA2020" s="4"/>
      <c r="AB2020" s="5"/>
    </row>
    <row r="2021" spans="1:28" x14ac:dyDescent="0.35">
      <c r="A2021" s="3"/>
      <c r="B2021" s="4"/>
      <c r="C2021" s="4"/>
      <c r="D2021" s="4"/>
      <c r="E2021" s="4"/>
      <c r="F2021" s="4"/>
      <c r="G2021" s="4"/>
      <c r="H2021" s="4"/>
      <c r="I2021" s="4"/>
      <c r="J2021" s="4"/>
      <c r="K2021" s="4"/>
      <c r="L2021" s="4"/>
      <c r="M2021" s="4"/>
      <c r="N2021" s="4"/>
      <c r="O2021" s="4"/>
      <c r="P2021" s="4"/>
      <c r="Q2021" s="4"/>
      <c r="R2021" s="4"/>
      <c r="S2021" s="4"/>
      <c r="T2021" s="4"/>
      <c r="U2021" s="4"/>
      <c r="V2021" s="4"/>
      <c r="W2021" s="4"/>
      <c r="X2021" s="4"/>
      <c r="Y2021" s="4"/>
      <c r="Z2021" s="4"/>
      <c r="AA2021" s="4"/>
      <c r="AB2021" s="5"/>
    </row>
    <row r="2022" spans="1:28" x14ac:dyDescent="0.35">
      <c r="A2022" s="3"/>
      <c r="B2022" s="4"/>
      <c r="C2022" s="4"/>
      <c r="D2022" s="4"/>
      <c r="E2022" s="4"/>
      <c r="F2022" s="4"/>
      <c r="G2022" s="4"/>
      <c r="H2022" s="4"/>
      <c r="I2022" s="4"/>
      <c r="J2022" s="4"/>
      <c r="K2022" s="4"/>
      <c r="L2022" s="4"/>
      <c r="M2022" s="4"/>
      <c r="N2022" s="4"/>
      <c r="O2022" s="4"/>
      <c r="P2022" s="4"/>
      <c r="Q2022" s="4"/>
      <c r="R2022" s="4"/>
      <c r="S2022" s="4"/>
      <c r="T2022" s="4"/>
      <c r="U2022" s="4"/>
      <c r="V2022" s="4"/>
      <c r="W2022" s="4"/>
      <c r="X2022" s="4"/>
      <c r="Y2022" s="4"/>
      <c r="Z2022" s="4"/>
      <c r="AA2022" s="4"/>
      <c r="AB2022" s="5"/>
    </row>
    <row r="2023" spans="1:28" x14ac:dyDescent="0.35">
      <c r="A2023" s="3"/>
      <c r="B2023" s="4"/>
      <c r="C2023" s="4"/>
      <c r="D2023" s="4"/>
      <c r="E2023" s="4"/>
      <c r="F2023" s="4"/>
      <c r="G2023" s="4"/>
      <c r="H2023" s="4"/>
      <c r="I2023" s="4"/>
      <c r="J2023" s="4"/>
      <c r="K2023" s="4"/>
      <c r="L2023" s="4"/>
      <c r="M2023" s="4"/>
      <c r="N2023" s="4"/>
      <c r="O2023" s="4"/>
      <c r="P2023" s="4"/>
      <c r="Q2023" s="4"/>
      <c r="R2023" s="4"/>
      <c r="S2023" s="4"/>
      <c r="T2023" s="4"/>
      <c r="U2023" s="4"/>
      <c r="V2023" s="4"/>
      <c r="W2023" s="4"/>
      <c r="X2023" s="4"/>
      <c r="Y2023" s="4"/>
      <c r="Z2023" s="4"/>
      <c r="AA2023" s="4"/>
      <c r="AB2023" s="5"/>
    </row>
    <row r="2024" spans="1:28" x14ac:dyDescent="0.35">
      <c r="A2024" s="3"/>
      <c r="B2024" s="4"/>
      <c r="C2024" s="4"/>
      <c r="D2024" s="4"/>
      <c r="E2024" s="4"/>
      <c r="F2024" s="4"/>
      <c r="G2024" s="4"/>
      <c r="H2024" s="4"/>
      <c r="I2024" s="4"/>
      <c r="J2024" s="4"/>
      <c r="K2024" s="4"/>
      <c r="L2024" s="4"/>
      <c r="M2024" s="4"/>
      <c r="N2024" s="4"/>
      <c r="O2024" s="4"/>
      <c r="P2024" s="4"/>
      <c r="Q2024" s="4"/>
      <c r="R2024" s="4"/>
      <c r="S2024" s="4"/>
      <c r="T2024" s="4"/>
      <c r="U2024" s="4"/>
      <c r="V2024" s="4"/>
      <c r="W2024" s="4"/>
      <c r="X2024" s="4"/>
      <c r="Y2024" s="4"/>
      <c r="Z2024" s="4"/>
      <c r="AA2024" s="4"/>
      <c r="AB2024" s="5"/>
    </row>
    <row r="2025" spans="1:28" x14ac:dyDescent="0.35">
      <c r="A2025" s="3"/>
      <c r="B2025" s="4"/>
      <c r="C2025" s="4"/>
      <c r="D2025" s="4"/>
      <c r="E2025" s="4"/>
      <c r="F2025" s="4"/>
      <c r="G2025" s="4"/>
      <c r="H2025" s="4"/>
      <c r="I2025" s="4"/>
      <c r="J2025" s="4"/>
      <c r="K2025" s="4"/>
      <c r="L2025" s="4"/>
      <c r="M2025" s="4"/>
      <c r="N2025" s="4"/>
      <c r="O2025" s="4"/>
      <c r="P2025" s="4"/>
      <c r="Q2025" s="4"/>
      <c r="R2025" s="4"/>
      <c r="S2025" s="4"/>
      <c r="T2025" s="4"/>
      <c r="U2025" s="4"/>
      <c r="V2025" s="4"/>
      <c r="W2025" s="4"/>
      <c r="X2025" s="4"/>
      <c r="Y2025" s="4"/>
      <c r="Z2025" s="4"/>
      <c r="AA2025" s="4"/>
      <c r="AB2025" s="5"/>
    </row>
    <row r="2026" spans="1:28" x14ac:dyDescent="0.35">
      <c r="A2026" s="3"/>
      <c r="B2026" s="4"/>
      <c r="C2026" s="4"/>
      <c r="D2026" s="4"/>
      <c r="E2026" s="4"/>
      <c r="F2026" s="4"/>
      <c r="G2026" s="4"/>
      <c r="H2026" s="4"/>
      <c r="I2026" s="4"/>
      <c r="J2026" s="4"/>
      <c r="K2026" s="4"/>
      <c r="L2026" s="4"/>
      <c r="M2026" s="4"/>
      <c r="N2026" s="4"/>
      <c r="O2026" s="4"/>
      <c r="P2026" s="4"/>
      <c r="Q2026" s="4"/>
      <c r="R2026" s="4"/>
      <c r="S2026" s="4"/>
      <c r="T2026" s="4"/>
      <c r="U2026" s="4"/>
      <c r="V2026" s="4"/>
      <c r="W2026" s="4"/>
      <c r="X2026" s="4"/>
      <c r="Y2026" s="4"/>
      <c r="Z2026" s="4"/>
      <c r="AA2026" s="4"/>
      <c r="AB2026" s="5"/>
    </row>
    <row r="2027" spans="1:28" x14ac:dyDescent="0.35">
      <c r="A2027" s="3"/>
      <c r="B2027" s="4"/>
      <c r="C2027" s="4"/>
      <c r="D2027" s="4"/>
      <c r="E2027" s="4"/>
      <c r="F2027" s="4"/>
      <c r="G2027" s="4"/>
      <c r="H2027" s="4"/>
      <c r="I2027" s="4"/>
      <c r="J2027" s="4"/>
      <c r="K2027" s="4"/>
      <c r="L2027" s="4"/>
      <c r="M2027" s="4"/>
      <c r="N2027" s="4"/>
      <c r="O2027" s="4"/>
      <c r="P2027" s="4"/>
      <c r="Q2027" s="4"/>
      <c r="R2027" s="4"/>
      <c r="S2027" s="4"/>
      <c r="T2027" s="4"/>
      <c r="U2027" s="4"/>
      <c r="V2027" s="4"/>
      <c r="W2027" s="4"/>
      <c r="X2027" s="4"/>
      <c r="Y2027" s="4"/>
      <c r="Z2027" s="4"/>
      <c r="AA2027" s="4"/>
      <c r="AB2027" s="5"/>
    </row>
    <row r="2028" spans="1:28" x14ac:dyDescent="0.35">
      <c r="A2028" s="3"/>
      <c r="B2028" s="4"/>
      <c r="C2028" s="4"/>
      <c r="D2028" s="4"/>
      <c r="E2028" s="4"/>
      <c r="F2028" s="4"/>
      <c r="G2028" s="4"/>
      <c r="H2028" s="4"/>
      <c r="I2028" s="4"/>
      <c r="J2028" s="4"/>
      <c r="K2028" s="4"/>
      <c r="L2028" s="4"/>
      <c r="M2028" s="4"/>
      <c r="N2028" s="4"/>
      <c r="O2028" s="4"/>
      <c r="P2028" s="4"/>
      <c r="Q2028" s="4"/>
      <c r="R2028" s="4"/>
      <c r="S2028" s="4"/>
      <c r="T2028" s="4"/>
      <c r="U2028" s="4"/>
      <c r="V2028" s="4"/>
      <c r="W2028" s="4"/>
      <c r="X2028" s="4"/>
      <c r="Y2028" s="4"/>
      <c r="Z2028" s="4"/>
      <c r="AA2028" s="4"/>
      <c r="AB2028" s="5"/>
    </row>
    <row r="2029" spans="1:28" x14ac:dyDescent="0.35">
      <c r="A2029" s="3"/>
      <c r="B2029" s="4"/>
      <c r="C2029" s="4"/>
      <c r="D2029" s="4"/>
      <c r="E2029" s="4"/>
      <c r="F2029" s="4"/>
      <c r="G2029" s="4"/>
      <c r="H2029" s="4"/>
      <c r="I2029" s="4"/>
      <c r="J2029" s="4"/>
      <c r="K2029" s="4"/>
      <c r="L2029" s="4"/>
      <c r="M2029" s="4"/>
      <c r="N2029" s="4"/>
      <c r="O2029" s="4"/>
      <c r="P2029" s="4"/>
      <c r="Q2029" s="4"/>
      <c r="R2029" s="4"/>
      <c r="S2029" s="4"/>
      <c r="T2029" s="4"/>
      <c r="U2029" s="4"/>
      <c r="V2029" s="4"/>
      <c r="W2029" s="4"/>
      <c r="X2029" s="4"/>
      <c r="Y2029" s="4"/>
      <c r="Z2029" s="4"/>
      <c r="AA2029" s="4"/>
      <c r="AB2029" s="5"/>
    </row>
    <row r="2030" spans="1:28" x14ac:dyDescent="0.35">
      <c r="A2030" s="3"/>
      <c r="B2030" s="4"/>
      <c r="C2030" s="4"/>
      <c r="D2030" s="4"/>
      <c r="E2030" s="4"/>
      <c r="F2030" s="4"/>
      <c r="G2030" s="4"/>
      <c r="H2030" s="4"/>
      <c r="I2030" s="4"/>
      <c r="J2030" s="4"/>
      <c r="K2030" s="4"/>
      <c r="L2030" s="4"/>
      <c r="M2030" s="4"/>
      <c r="N2030" s="4"/>
      <c r="O2030" s="4"/>
      <c r="P2030" s="4"/>
      <c r="Q2030" s="4"/>
      <c r="R2030" s="4"/>
      <c r="S2030" s="4"/>
      <c r="T2030" s="4"/>
      <c r="U2030" s="4"/>
      <c r="V2030" s="4"/>
      <c r="W2030" s="4"/>
      <c r="X2030" s="4"/>
      <c r="Y2030" s="4"/>
      <c r="Z2030" s="4"/>
      <c r="AA2030" s="4"/>
      <c r="AB2030" s="5"/>
    </row>
    <row r="2031" spans="1:28" x14ac:dyDescent="0.35">
      <c r="A2031" s="3"/>
      <c r="B2031" s="4"/>
      <c r="C2031" s="4"/>
      <c r="D2031" s="4"/>
      <c r="E2031" s="4"/>
      <c r="F2031" s="4"/>
      <c r="G2031" s="4"/>
      <c r="H2031" s="4"/>
      <c r="I2031" s="4"/>
      <c r="J2031" s="4"/>
      <c r="K2031" s="4"/>
      <c r="L2031" s="4"/>
      <c r="M2031" s="4"/>
      <c r="N2031" s="4"/>
      <c r="O2031" s="4"/>
      <c r="P2031" s="4"/>
      <c r="Q2031" s="4"/>
      <c r="R2031" s="4"/>
      <c r="S2031" s="4"/>
      <c r="T2031" s="4"/>
      <c r="U2031" s="4"/>
      <c r="V2031" s="4"/>
      <c r="W2031" s="4"/>
      <c r="X2031" s="4"/>
      <c r="Y2031" s="4"/>
      <c r="Z2031" s="4"/>
      <c r="AA2031" s="4"/>
      <c r="AB2031" s="5"/>
    </row>
    <row r="2032" spans="1:28" x14ac:dyDescent="0.35">
      <c r="A2032" s="3"/>
      <c r="B2032" s="4"/>
      <c r="C2032" s="4"/>
      <c r="D2032" s="4"/>
      <c r="E2032" s="4"/>
      <c r="F2032" s="4"/>
      <c r="G2032" s="4"/>
      <c r="H2032" s="4"/>
      <c r="I2032" s="4"/>
      <c r="J2032" s="4"/>
      <c r="K2032" s="4"/>
      <c r="L2032" s="4"/>
      <c r="M2032" s="4"/>
      <c r="N2032" s="4"/>
      <c r="O2032" s="4"/>
      <c r="P2032" s="4"/>
      <c r="Q2032" s="4"/>
      <c r="R2032" s="4"/>
      <c r="S2032" s="4"/>
      <c r="T2032" s="4"/>
      <c r="U2032" s="4"/>
      <c r="V2032" s="4"/>
      <c r="W2032" s="4"/>
      <c r="X2032" s="4"/>
      <c r="Y2032" s="4"/>
      <c r="Z2032" s="4"/>
      <c r="AA2032" s="4"/>
      <c r="AB2032" s="5"/>
    </row>
    <row r="2033" spans="1:28" x14ac:dyDescent="0.35">
      <c r="A2033" s="3"/>
      <c r="B2033" s="4"/>
      <c r="C2033" s="4"/>
      <c r="D2033" s="4"/>
      <c r="E2033" s="4"/>
      <c r="F2033" s="4"/>
      <c r="G2033" s="4"/>
      <c r="H2033" s="4"/>
      <c r="I2033" s="4"/>
      <c r="J2033" s="4"/>
      <c r="K2033" s="4"/>
      <c r="L2033" s="4"/>
      <c r="M2033" s="4"/>
      <c r="N2033" s="4"/>
      <c r="O2033" s="4"/>
      <c r="P2033" s="4"/>
      <c r="Q2033" s="4"/>
      <c r="R2033" s="4"/>
      <c r="S2033" s="4"/>
      <c r="T2033" s="4"/>
      <c r="U2033" s="4"/>
      <c r="V2033" s="4"/>
      <c r="W2033" s="4"/>
      <c r="X2033" s="4"/>
      <c r="Y2033" s="4"/>
      <c r="Z2033" s="4"/>
      <c r="AA2033" s="4"/>
      <c r="AB2033" s="5"/>
    </row>
    <row r="2034" spans="1:28" x14ac:dyDescent="0.35">
      <c r="A2034" s="3"/>
      <c r="B2034" s="4"/>
      <c r="C2034" s="4"/>
      <c r="D2034" s="4"/>
      <c r="E2034" s="4"/>
      <c r="F2034" s="4"/>
      <c r="G2034" s="4"/>
      <c r="H2034" s="4"/>
      <c r="I2034" s="4"/>
      <c r="J2034" s="4"/>
      <c r="K2034" s="4"/>
      <c r="L2034" s="4"/>
      <c r="M2034" s="4"/>
      <c r="N2034" s="4"/>
      <c r="O2034" s="4"/>
      <c r="P2034" s="4"/>
      <c r="Q2034" s="4"/>
      <c r="R2034" s="4"/>
      <c r="S2034" s="4"/>
      <c r="T2034" s="4"/>
      <c r="U2034" s="4"/>
      <c r="V2034" s="4"/>
      <c r="W2034" s="4"/>
      <c r="X2034" s="4"/>
      <c r="Y2034" s="4"/>
      <c r="Z2034" s="4"/>
      <c r="AA2034" s="4"/>
      <c r="AB2034" s="5"/>
    </row>
    <row r="2035" spans="1:28" x14ac:dyDescent="0.35">
      <c r="A2035" s="3"/>
      <c r="B2035" s="4"/>
      <c r="C2035" s="4"/>
      <c r="D2035" s="4"/>
      <c r="E2035" s="4"/>
      <c r="F2035" s="4"/>
      <c r="G2035" s="4"/>
      <c r="H2035" s="4"/>
      <c r="I2035" s="4"/>
      <c r="J2035" s="4"/>
      <c r="K2035" s="4"/>
      <c r="L2035" s="4"/>
      <c r="M2035" s="4"/>
      <c r="N2035" s="4"/>
      <c r="O2035" s="4"/>
      <c r="P2035" s="4"/>
      <c r="Q2035" s="4"/>
      <c r="R2035" s="4"/>
      <c r="S2035" s="4"/>
      <c r="T2035" s="4"/>
      <c r="U2035" s="4"/>
      <c r="V2035" s="4"/>
      <c r="W2035" s="4"/>
      <c r="X2035" s="4"/>
      <c r="Y2035" s="4"/>
      <c r="Z2035" s="4"/>
      <c r="AA2035" s="4"/>
      <c r="AB2035" s="5"/>
    </row>
    <row r="2036" spans="1:28" x14ac:dyDescent="0.35">
      <c r="A2036" s="3"/>
      <c r="B2036" s="4"/>
      <c r="C2036" s="4"/>
      <c r="D2036" s="4"/>
      <c r="E2036" s="4"/>
      <c r="F2036" s="4"/>
      <c r="G2036" s="4"/>
      <c r="H2036" s="4"/>
      <c r="I2036" s="4"/>
      <c r="J2036" s="4"/>
      <c r="K2036" s="4"/>
      <c r="L2036" s="4"/>
      <c r="M2036" s="4"/>
      <c r="N2036" s="4"/>
      <c r="O2036" s="4"/>
      <c r="P2036" s="4"/>
      <c r="Q2036" s="4"/>
      <c r="R2036" s="4"/>
      <c r="S2036" s="4"/>
      <c r="T2036" s="4"/>
      <c r="U2036" s="4"/>
      <c r="V2036" s="4"/>
      <c r="W2036" s="4"/>
      <c r="X2036" s="4"/>
      <c r="Y2036" s="4"/>
      <c r="Z2036" s="4"/>
      <c r="AA2036" s="4"/>
      <c r="AB2036" s="5"/>
    </row>
    <row r="2037" spans="1:28" x14ac:dyDescent="0.35">
      <c r="A2037" s="3"/>
      <c r="B2037" s="4"/>
      <c r="C2037" s="4"/>
      <c r="D2037" s="4"/>
      <c r="E2037" s="4"/>
      <c r="F2037" s="4"/>
      <c r="G2037" s="4"/>
      <c r="H2037" s="4"/>
      <c r="I2037" s="4"/>
      <c r="J2037" s="4"/>
      <c r="K2037" s="4"/>
      <c r="L2037" s="4"/>
      <c r="M2037" s="4"/>
      <c r="N2037" s="4"/>
      <c r="O2037" s="4"/>
      <c r="P2037" s="4"/>
      <c r="Q2037" s="4"/>
      <c r="R2037" s="4"/>
      <c r="S2037" s="4"/>
      <c r="T2037" s="4"/>
      <c r="U2037" s="4"/>
      <c r="V2037" s="4"/>
      <c r="W2037" s="4"/>
      <c r="X2037" s="4"/>
      <c r="Y2037" s="4"/>
      <c r="Z2037" s="4"/>
      <c r="AA2037" s="4"/>
      <c r="AB2037" s="5"/>
    </row>
    <row r="2038" spans="1:28" x14ac:dyDescent="0.35">
      <c r="A2038" s="3"/>
      <c r="B2038" s="4"/>
      <c r="C2038" s="4"/>
      <c r="D2038" s="4"/>
      <c r="E2038" s="4"/>
      <c r="F2038" s="4"/>
      <c r="G2038" s="4"/>
      <c r="H2038" s="4"/>
      <c r="I2038" s="4"/>
      <c r="J2038" s="4"/>
      <c r="K2038" s="4"/>
      <c r="L2038" s="4"/>
      <c r="M2038" s="4"/>
      <c r="N2038" s="4"/>
      <c r="O2038" s="4"/>
      <c r="P2038" s="4"/>
      <c r="Q2038" s="4"/>
      <c r="R2038" s="4"/>
      <c r="S2038" s="4"/>
      <c r="T2038" s="4"/>
      <c r="U2038" s="4"/>
      <c r="V2038" s="4"/>
      <c r="W2038" s="4"/>
      <c r="X2038" s="4"/>
      <c r="Y2038" s="4"/>
      <c r="Z2038" s="4"/>
      <c r="AA2038" s="4"/>
      <c r="AB2038" s="5"/>
    </row>
    <row r="2039" spans="1:28" x14ac:dyDescent="0.35">
      <c r="A2039" s="3"/>
      <c r="B2039" s="4"/>
      <c r="C2039" s="4"/>
      <c r="D2039" s="4"/>
      <c r="E2039" s="4"/>
      <c r="F2039" s="4"/>
      <c r="G2039" s="4"/>
      <c r="H2039" s="4"/>
      <c r="I2039" s="4"/>
      <c r="J2039" s="4"/>
      <c r="K2039" s="4"/>
      <c r="L2039" s="4"/>
      <c r="M2039" s="4"/>
      <c r="N2039" s="4"/>
      <c r="O2039" s="4"/>
      <c r="P2039" s="4"/>
      <c r="Q2039" s="4"/>
      <c r="R2039" s="4"/>
      <c r="S2039" s="4"/>
      <c r="T2039" s="4"/>
      <c r="U2039" s="4"/>
      <c r="V2039" s="4"/>
      <c r="W2039" s="4"/>
      <c r="X2039" s="4"/>
      <c r="Y2039" s="4"/>
      <c r="Z2039" s="4"/>
      <c r="AA2039" s="4"/>
      <c r="AB2039" s="5"/>
    </row>
    <row r="2040" spans="1:28" x14ac:dyDescent="0.35">
      <c r="A2040" s="3"/>
      <c r="B2040" s="4"/>
      <c r="C2040" s="4"/>
      <c r="D2040" s="4"/>
      <c r="E2040" s="4"/>
      <c r="F2040" s="4"/>
      <c r="G2040" s="4"/>
      <c r="H2040" s="4"/>
      <c r="I2040" s="4"/>
      <c r="J2040" s="4"/>
      <c r="K2040" s="4"/>
      <c r="L2040" s="4"/>
      <c r="M2040" s="4"/>
      <c r="N2040" s="4"/>
      <c r="O2040" s="4"/>
      <c r="P2040" s="4"/>
      <c r="Q2040" s="4"/>
      <c r="R2040" s="4"/>
      <c r="S2040" s="4"/>
      <c r="T2040" s="4"/>
      <c r="U2040" s="4"/>
      <c r="V2040" s="4"/>
      <c r="W2040" s="4"/>
      <c r="X2040" s="4"/>
      <c r="Y2040" s="4"/>
      <c r="Z2040" s="4"/>
      <c r="AA2040" s="4"/>
      <c r="AB2040" s="5"/>
    </row>
    <row r="2041" spans="1:28" x14ac:dyDescent="0.35">
      <c r="A2041" s="3"/>
      <c r="B2041" s="4"/>
      <c r="C2041" s="4"/>
      <c r="D2041" s="4"/>
      <c r="E2041" s="4"/>
      <c r="F2041" s="4"/>
      <c r="G2041" s="4"/>
      <c r="H2041" s="4"/>
      <c r="I2041" s="4"/>
      <c r="J2041" s="4"/>
      <c r="K2041" s="4"/>
      <c r="L2041" s="4"/>
      <c r="M2041" s="4"/>
      <c r="N2041" s="4"/>
      <c r="O2041" s="4"/>
      <c r="P2041" s="4"/>
      <c r="Q2041" s="4"/>
      <c r="R2041" s="4"/>
      <c r="S2041" s="4"/>
      <c r="T2041" s="4"/>
      <c r="U2041" s="4"/>
      <c r="V2041" s="4"/>
      <c r="W2041" s="4"/>
      <c r="X2041" s="4"/>
      <c r="Y2041" s="4"/>
      <c r="Z2041" s="4"/>
      <c r="AA2041" s="4"/>
      <c r="AB2041" s="5"/>
    </row>
    <row r="2042" spans="1:28" x14ac:dyDescent="0.35">
      <c r="A2042" s="3"/>
      <c r="B2042" s="4"/>
      <c r="C2042" s="4"/>
      <c r="D2042" s="4"/>
      <c r="E2042" s="4"/>
      <c r="F2042" s="4"/>
      <c r="G2042" s="4"/>
      <c r="H2042" s="4"/>
      <c r="I2042" s="4"/>
      <c r="J2042" s="4"/>
      <c r="K2042" s="4"/>
      <c r="L2042" s="4"/>
      <c r="M2042" s="4"/>
      <c r="N2042" s="4"/>
      <c r="O2042" s="4"/>
      <c r="P2042" s="4"/>
      <c r="Q2042" s="4"/>
      <c r="R2042" s="4"/>
      <c r="S2042" s="4"/>
      <c r="T2042" s="4"/>
      <c r="U2042" s="4"/>
      <c r="V2042" s="4"/>
      <c r="W2042" s="4"/>
      <c r="X2042" s="4"/>
      <c r="Y2042" s="4"/>
      <c r="Z2042" s="4"/>
      <c r="AA2042" s="4"/>
      <c r="AB2042" s="5"/>
    </row>
    <row r="2043" spans="1:28" x14ac:dyDescent="0.35">
      <c r="A2043" s="3"/>
      <c r="B2043" s="4"/>
      <c r="C2043" s="4"/>
      <c r="D2043" s="4"/>
      <c r="E2043" s="4"/>
      <c r="F2043" s="4"/>
      <c r="G2043" s="4"/>
      <c r="H2043" s="4"/>
      <c r="I2043" s="4"/>
      <c r="J2043" s="4"/>
      <c r="K2043" s="4"/>
      <c r="L2043" s="4"/>
      <c r="M2043" s="4"/>
      <c r="N2043" s="4"/>
      <c r="O2043" s="4"/>
      <c r="P2043" s="4"/>
      <c r="Q2043" s="4"/>
      <c r="R2043" s="4"/>
      <c r="S2043" s="4"/>
      <c r="T2043" s="4"/>
      <c r="U2043" s="4"/>
      <c r="V2043" s="4"/>
      <c r="W2043" s="4"/>
      <c r="X2043" s="4"/>
      <c r="Y2043" s="4"/>
      <c r="Z2043" s="4"/>
      <c r="AA2043" s="4"/>
      <c r="AB2043" s="5"/>
    </row>
    <row r="2044" spans="1:28" x14ac:dyDescent="0.35">
      <c r="A2044" s="3"/>
      <c r="B2044" s="4"/>
      <c r="C2044" s="4"/>
      <c r="D2044" s="4"/>
      <c r="E2044" s="4"/>
      <c r="F2044" s="4"/>
      <c r="G2044" s="4"/>
      <c r="H2044" s="4"/>
      <c r="I2044" s="4"/>
      <c r="J2044" s="4"/>
      <c r="K2044" s="4"/>
      <c r="L2044" s="4"/>
      <c r="M2044" s="4"/>
      <c r="N2044" s="4"/>
      <c r="O2044" s="4"/>
      <c r="P2044" s="4"/>
      <c r="Q2044" s="4"/>
      <c r="R2044" s="4"/>
      <c r="S2044" s="4"/>
      <c r="T2044" s="4"/>
      <c r="U2044" s="4"/>
      <c r="V2044" s="4"/>
      <c r="W2044" s="4"/>
      <c r="X2044" s="4"/>
      <c r="Y2044" s="4"/>
      <c r="Z2044" s="4"/>
      <c r="AA2044" s="4"/>
      <c r="AB2044" s="5"/>
    </row>
    <row r="2045" spans="1:28" x14ac:dyDescent="0.35">
      <c r="A2045" s="3"/>
      <c r="B2045" s="4"/>
      <c r="C2045" s="4"/>
      <c r="D2045" s="4"/>
      <c r="E2045" s="4"/>
      <c r="F2045" s="4"/>
      <c r="G2045" s="4"/>
      <c r="H2045" s="4"/>
      <c r="I2045" s="4"/>
      <c r="J2045" s="4"/>
      <c r="K2045" s="4"/>
      <c r="L2045" s="4"/>
      <c r="M2045" s="4"/>
      <c r="N2045" s="4"/>
      <c r="O2045" s="4"/>
      <c r="P2045" s="4"/>
      <c r="Q2045" s="4"/>
      <c r="R2045" s="4"/>
      <c r="S2045" s="4"/>
      <c r="T2045" s="4"/>
      <c r="U2045" s="4"/>
      <c r="V2045" s="4"/>
      <c r="W2045" s="4"/>
      <c r="X2045" s="4"/>
      <c r="Y2045" s="4"/>
      <c r="Z2045" s="4"/>
      <c r="AA2045" s="4"/>
      <c r="AB2045" s="5"/>
    </row>
    <row r="2046" spans="1:28" x14ac:dyDescent="0.35">
      <c r="A2046" s="3"/>
      <c r="B2046" s="4"/>
      <c r="C2046" s="4"/>
      <c r="D2046" s="4"/>
      <c r="E2046" s="4"/>
      <c r="F2046" s="4"/>
      <c r="G2046" s="4"/>
      <c r="H2046" s="4"/>
      <c r="I2046" s="4"/>
      <c r="J2046" s="4"/>
      <c r="K2046" s="4"/>
      <c r="L2046" s="4"/>
      <c r="M2046" s="4"/>
      <c r="N2046" s="4"/>
      <c r="O2046" s="4"/>
      <c r="P2046" s="4"/>
      <c r="Q2046" s="4"/>
      <c r="R2046" s="4"/>
      <c r="S2046" s="4"/>
      <c r="T2046" s="4"/>
      <c r="U2046" s="4"/>
      <c r="V2046" s="4"/>
      <c r="W2046" s="4"/>
      <c r="X2046" s="4"/>
      <c r="Y2046" s="4"/>
      <c r="Z2046" s="4"/>
      <c r="AA2046" s="4"/>
      <c r="AB2046" s="5"/>
    </row>
    <row r="2047" spans="1:28" x14ac:dyDescent="0.35">
      <c r="A2047" s="3"/>
      <c r="B2047" s="4"/>
      <c r="C2047" s="4"/>
      <c r="D2047" s="4"/>
      <c r="E2047" s="4"/>
      <c r="F2047" s="4"/>
      <c r="G2047" s="4"/>
      <c r="H2047" s="4"/>
      <c r="I2047" s="4"/>
      <c r="J2047" s="4"/>
      <c r="K2047" s="4"/>
      <c r="L2047" s="4"/>
      <c r="M2047" s="4"/>
      <c r="N2047" s="4"/>
      <c r="O2047" s="4"/>
      <c r="P2047" s="4"/>
      <c r="Q2047" s="4"/>
      <c r="R2047" s="4"/>
      <c r="S2047" s="4"/>
      <c r="T2047" s="4"/>
      <c r="U2047" s="4"/>
      <c r="V2047" s="4"/>
      <c r="W2047" s="4"/>
      <c r="X2047" s="4"/>
      <c r="Y2047" s="4"/>
      <c r="Z2047" s="4"/>
      <c r="AA2047" s="4"/>
      <c r="AB2047" s="5"/>
    </row>
    <row r="2048" spans="1:28" x14ac:dyDescent="0.35">
      <c r="A2048" s="3"/>
      <c r="B2048" s="4"/>
      <c r="C2048" s="4"/>
      <c r="D2048" s="4"/>
      <c r="E2048" s="4"/>
      <c r="F2048" s="4"/>
      <c r="G2048" s="4"/>
      <c r="H2048" s="4"/>
      <c r="I2048" s="4"/>
      <c r="J2048" s="4"/>
      <c r="K2048" s="4"/>
      <c r="L2048" s="4"/>
      <c r="M2048" s="4"/>
      <c r="N2048" s="4"/>
      <c r="O2048" s="4"/>
      <c r="P2048" s="4"/>
      <c r="Q2048" s="4"/>
      <c r="R2048" s="4"/>
      <c r="S2048" s="4"/>
      <c r="T2048" s="4"/>
      <c r="U2048" s="4"/>
      <c r="V2048" s="4"/>
      <c r="W2048" s="4"/>
      <c r="X2048" s="4"/>
      <c r="Y2048" s="4"/>
      <c r="Z2048" s="4"/>
      <c r="AA2048" s="4"/>
      <c r="AB2048" s="5"/>
    </row>
    <row r="2049" spans="1:28" x14ac:dyDescent="0.35">
      <c r="A2049" s="3"/>
      <c r="B2049" s="4"/>
      <c r="C2049" s="4"/>
      <c r="D2049" s="4"/>
      <c r="E2049" s="4"/>
      <c r="F2049" s="4"/>
      <c r="G2049" s="4"/>
      <c r="H2049" s="4"/>
      <c r="I2049" s="4"/>
      <c r="J2049" s="4"/>
      <c r="K2049" s="4"/>
      <c r="L2049" s="4"/>
      <c r="M2049" s="4"/>
      <c r="N2049" s="4"/>
      <c r="O2049" s="4"/>
      <c r="P2049" s="4"/>
      <c r="Q2049" s="4"/>
      <c r="R2049" s="4"/>
      <c r="S2049" s="4"/>
      <c r="T2049" s="4"/>
      <c r="U2049" s="4"/>
      <c r="V2049" s="4"/>
      <c r="W2049" s="4"/>
      <c r="X2049" s="4"/>
      <c r="Y2049" s="4"/>
      <c r="Z2049" s="4"/>
      <c r="AA2049" s="4"/>
      <c r="AB2049" s="5"/>
    </row>
    <row r="2050" spans="1:28" x14ac:dyDescent="0.35">
      <c r="A2050" s="3"/>
      <c r="B2050" s="4"/>
      <c r="C2050" s="4"/>
      <c r="D2050" s="4"/>
      <c r="E2050" s="4"/>
      <c r="F2050" s="4"/>
      <c r="G2050" s="4"/>
      <c r="H2050" s="4"/>
      <c r="I2050" s="4"/>
      <c r="J2050" s="4"/>
      <c r="K2050" s="4"/>
      <c r="L2050" s="4"/>
      <c r="M2050" s="4"/>
      <c r="N2050" s="4"/>
      <c r="O2050" s="4"/>
      <c r="P2050" s="4"/>
      <c r="Q2050" s="4"/>
      <c r="R2050" s="4"/>
      <c r="S2050" s="4"/>
      <c r="T2050" s="4"/>
      <c r="U2050" s="4"/>
      <c r="V2050" s="4"/>
      <c r="W2050" s="4"/>
      <c r="X2050" s="4"/>
      <c r="Y2050" s="4"/>
      <c r="Z2050" s="4"/>
      <c r="AA2050" s="4"/>
      <c r="AB2050" s="5"/>
    </row>
    <row r="2051" spans="1:28" x14ac:dyDescent="0.35">
      <c r="A2051" s="3"/>
      <c r="B2051" s="4"/>
      <c r="C2051" s="4"/>
      <c r="D2051" s="4"/>
      <c r="E2051" s="4"/>
      <c r="F2051" s="4"/>
      <c r="G2051" s="4"/>
      <c r="H2051" s="4"/>
      <c r="I2051" s="4"/>
      <c r="J2051" s="4"/>
      <c r="K2051" s="4"/>
      <c r="L2051" s="4"/>
      <c r="M2051" s="4"/>
      <c r="N2051" s="4"/>
      <c r="O2051" s="4"/>
      <c r="P2051" s="4"/>
      <c r="Q2051" s="4"/>
      <c r="R2051" s="4"/>
      <c r="S2051" s="4"/>
      <c r="T2051" s="4"/>
      <c r="U2051" s="4"/>
      <c r="V2051" s="4"/>
      <c r="W2051" s="4"/>
      <c r="X2051" s="4"/>
      <c r="Y2051" s="4"/>
      <c r="Z2051" s="4"/>
      <c r="AA2051" s="4"/>
      <c r="AB2051" s="5"/>
    </row>
    <row r="2052" spans="1:28" x14ac:dyDescent="0.35">
      <c r="A2052" s="3"/>
      <c r="B2052" s="4"/>
      <c r="C2052" s="4"/>
      <c r="D2052" s="4"/>
      <c r="E2052" s="4"/>
      <c r="F2052" s="4"/>
      <c r="G2052" s="4"/>
      <c r="H2052" s="4"/>
      <c r="I2052" s="4"/>
      <c r="J2052" s="4"/>
      <c r="K2052" s="4"/>
      <c r="L2052" s="4"/>
      <c r="M2052" s="4"/>
      <c r="N2052" s="4"/>
      <c r="O2052" s="4"/>
      <c r="P2052" s="4"/>
      <c r="Q2052" s="4"/>
      <c r="R2052" s="4"/>
      <c r="S2052" s="4"/>
      <c r="T2052" s="4"/>
      <c r="U2052" s="4"/>
      <c r="V2052" s="4"/>
      <c r="W2052" s="4"/>
      <c r="X2052" s="4"/>
      <c r="Y2052" s="4"/>
      <c r="Z2052" s="4"/>
      <c r="AA2052" s="4"/>
      <c r="AB2052" s="5"/>
    </row>
    <row r="2053" spans="1:28" x14ac:dyDescent="0.35">
      <c r="A2053" s="3"/>
      <c r="B2053" s="4"/>
      <c r="C2053" s="4"/>
      <c r="D2053" s="4"/>
      <c r="E2053" s="4"/>
      <c r="F2053" s="4"/>
      <c r="G2053" s="4"/>
      <c r="H2053" s="4"/>
      <c r="I2053" s="4"/>
      <c r="J2053" s="4"/>
      <c r="K2053" s="4"/>
      <c r="L2053" s="4"/>
      <c r="M2053" s="4"/>
      <c r="N2053" s="4"/>
      <c r="O2053" s="4"/>
      <c r="P2053" s="4"/>
      <c r="Q2053" s="4"/>
      <c r="R2053" s="4"/>
      <c r="S2053" s="4"/>
      <c r="T2053" s="4"/>
      <c r="U2053" s="4"/>
      <c r="V2053" s="4"/>
      <c r="W2053" s="4"/>
      <c r="X2053" s="4"/>
      <c r="Y2053" s="4"/>
      <c r="Z2053" s="4"/>
      <c r="AA2053" s="4"/>
      <c r="AB2053" s="5"/>
    </row>
    <row r="2054" spans="1:28" x14ac:dyDescent="0.35">
      <c r="A2054" s="3"/>
      <c r="B2054" s="4"/>
      <c r="C2054" s="4"/>
      <c r="D2054" s="4"/>
      <c r="E2054" s="4"/>
      <c r="F2054" s="4"/>
      <c r="G2054" s="4"/>
      <c r="H2054" s="4"/>
      <c r="I2054" s="4"/>
      <c r="J2054" s="4"/>
      <c r="K2054" s="4"/>
      <c r="L2054" s="4"/>
      <c r="M2054" s="4"/>
      <c r="N2054" s="4"/>
      <c r="O2054" s="4"/>
      <c r="P2054" s="4"/>
      <c r="Q2054" s="4"/>
      <c r="R2054" s="4"/>
      <c r="S2054" s="4"/>
      <c r="T2054" s="4"/>
      <c r="U2054" s="4"/>
      <c r="V2054" s="4"/>
      <c r="W2054" s="4"/>
      <c r="X2054" s="4"/>
      <c r="Y2054" s="4"/>
      <c r="Z2054" s="4"/>
      <c r="AA2054" s="4"/>
      <c r="AB2054" s="5"/>
    </row>
    <row r="2055" spans="1:28" x14ac:dyDescent="0.35">
      <c r="A2055" s="3"/>
      <c r="B2055" s="4"/>
      <c r="C2055" s="4"/>
      <c r="D2055" s="4"/>
      <c r="E2055" s="4"/>
      <c r="F2055" s="4"/>
      <c r="G2055" s="4"/>
      <c r="H2055" s="4"/>
      <c r="I2055" s="4"/>
      <c r="J2055" s="4"/>
      <c r="K2055" s="4"/>
      <c r="L2055" s="4"/>
      <c r="M2055" s="4"/>
      <c r="N2055" s="4"/>
      <c r="O2055" s="4"/>
      <c r="P2055" s="4"/>
      <c r="Q2055" s="4"/>
      <c r="R2055" s="4"/>
      <c r="S2055" s="4"/>
      <c r="T2055" s="4"/>
      <c r="U2055" s="4"/>
      <c r="V2055" s="4"/>
      <c r="W2055" s="4"/>
      <c r="X2055" s="4"/>
      <c r="Y2055" s="4"/>
      <c r="Z2055" s="4"/>
      <c r="AA2055" s="4"/>
      <c r="AB2055" s="5"/>
    </row>
    <row r="2056" spans="1:28" x14ac:dyDescent="0.35">
      <c r="A2056" s="3"/>
      <c r="B2056" s="4"/>
      <c r="C2056" s="4"/>
      <c r="D2056" s="4"/>
      <c r="E2056" s="4"/>
      <c r="F2056" s="4"/>
      <c r="G2056" s="4"/>
      <c r="H2056" s="4"/>
      <c r="I2056" s="4"/>
      <c r="J2056" s="4"/>
      <c r="K2056" s="4"/>
      <c r="L2056" s="4"/>
      <c r="M2056" s="4"/>
      <c r="N2056" s="4"/>
      <c r="O2056" s="4"/>
      <c r="P2056" s="4"/>
      <c r="Q2056" s="4"/>
      <c r="R2056" s="4"/>
      <c r="S2056" s="4"/>
      <c r="T2056" s="4"/>
      <c r="U2056" s="4"/>
      <c r="V2056" s="4"/>
      <c r="W2056" s="4"/>
      <c r="X2056" s="4"/>
      <c r="Y2056" s="4"/>
      <c r="Z2056" s="4"/>
      <c r="AA2056" s="4"/>
      <c r="AB2056" s="5"/>
    </row>
    <row r="2057" spans="1:28" x14ac:dyDescent="0.35">
      <c r="A2057" s="3"/>
      <c r="B2057" s="4"/>
      <c r="C2057" s="4"/>
      <c r="D2057" s="4"/>
      <c r="E2057" s="4"/>
      <c r="F2057" s="4"/>
      <c r="G2057" s="4"/>
      <c r="H2057" s="4"/>
      <c r="I2057" s="4"/>
      <c r="J2057" s="4"/>
      <c r="K2057" s="4"/>
      <c r="L2057" s="4"/>
      <c r="M2057" s="4"/>
      <c r="N2057" s="4"/>
      <c r="O2057" s="4"/>
      <c r="P2057" s="4"/>
      <c r="Q2057" s="4"/>
      <c r="R2057" s="4"/>
      <c r="S2057" s="4"/>
      <c r="T2057" s="4"/>
      <c r="U2057" s="4"/>
      <c r="V2057" s="4"/>
      <c r="W2057" s="4"/>
      <c r="X2057" s="4"/>
      <c r="Y2057" s="4"/>
      <c r="Z2057" s="4"/>
      <c r="AA2057" s="4"/>
      <c r="AB2057" s="5"/>
    </row>
    <row r="2058" spans="1:28" x14ac:dyDescent="0.35">
      <c r="A2058" s="3"/>
      <c r="B2058" s="4"/>
      <c r="C2058" s="4"/>
      <c r="D2058" s="4"/>
      <c r="E2058" s="4"/>
      <c r="F2058" s="4"/>
      <c r="G2058" s="4"/>
      <c r="H2058" s="4"/>
      <c r="I2058" s="4"/>
      <c r="J2058" s="4"/>
      <c r="K2058" s="4"/>
      <c r="L2058" s="4"/>
      <c r="M2058" s="4"/>
      <c r="N2058" s="4"/>
      <c r="O2058" s="4"/>
      <c r="P2058" s="4"/>
      <c r="Q2058" s="4"/>
      <c r="R2058" s="4"/>
      <c r="S2058" s="4"/>
      <c r="T2058" s="4"/>
      <c r="U2058" s="4"/>
      <c r="V2058" s="4"/>
      <c r="W2058" s="4"/>
      <c r="X2058" s="4"/>
      <c r="Y2058" s="4"/>
      <c r="Z2058" s="4"/>
      <c r="AA2058" s="4"/>
      <c r="AB2058" s="5"/>
    </row>
    <row r="2059" spans="1:28" x14ac:dyDescent="0.35">
      <c r="A2059" s="3"/>
      <c r="B2059" s="4"/>
      <c r="C2059" s="4"/>
      <c r="D2059" s="4"/>
      <c r="E2059" s="4"/>
      <c r="F2059" s="4"/>
      <c r="G2059" s="4"/>
      <c r="H2059" s="4"/>
      <c r="I2059" s="4"/>
      <c r="J2059" s="4"/>
      <c r="K2059" s="4"/>
      <c r="L2059" s="4"/>
      <c r="M2059" s="4"/>
      <c r="N2059" s="4"/>
      <c r="O2059" s="4"/>
      <c r="P2059" s="4"/>
      <c r="Q2059" s="4"/>
      <c r="R2059" s="4"/>
      <c r="S2059" s="4"/>
      <c r="T2059" s="4"/>
      <c r="U2059" s="4"/>
      <c r="V2059" s="4"/>
      <c r="W2059" s="4"/>
      <c r="X2059" s="4"/>
      <c r="Y2059" s="4"/>
      <c r="Z2059" s="4"/>
      <c r="AA2059" s="4"/>
      <c r="AB2059" s="5"/>
    </row>
    <row r="2060" spans="1:28" x14ac:dyDescent="0.35">
      <c r="A2060" s="3"/>
      <c r="B2060" s="4"/>
      <c r="C2060" s="4"/>
      <c r="D2060" s="4"/>
      <c r="E2060" s="4"/>
      <c r="F2060" s="4"/>
      <c r="G2060" s="4"/>
      <c r="H2060" s="4"/>
      <c r="I2060" s="4"/>
      <c r="J2060" s="4"/>
      <c r="K2060" s="4"/>
      <c r="L2060" s="4"/>
      <c r="M2060" s="4"/>
      <c r="N2060" s="4"/>
      <c r="O2060" s="4"/>
      <c r="P2060" s="4"/>
      <c r="Q2060" s="4"/>
      <c r="R2060" s="4"/>
      <c r="S2060" s="4"/>
      <c r="T2060" s="4"/>
      <c r="U2060" s="4"/>
      <c r="V2060" s="4"/>
      <c r="W2060" s="4"/>
      <c r="X2060" s="4"/>
      <c r="Y2060" s="4"/>
      <c r="Z2060" s="4"/>
      <c r="AA2060" s="4"/>
      <c r="AB2060" s="5"/>
    </row>
    <row r="2061" spans="1:28" x14ac:dyDescent="0.35">
      <c r="A2061" s="3"/>
      <c r="B2061" s="4"/>
      <c r="C2061" s="4"/>
      <c r="D2061" s="4"/>
      <c r="E2061" s="4"/>
      <c r="F2061" s="4"/>
      <c r="G2061" s="4"/>
      <c r="H2061" s="4"/>
      <c r="I2061" s="4"/>
      <c r="J2061" s="4"/>
      <c r="K2061" s="4"/>
      <c r="L2061" s="4"/>
      <c r="M2061" s="4"/>
      <c r="N2061" s="4"/>
      <c r="O2061" s="4"/>
      <c r="P2061" s="4"/>
      <c r="Q2061" s="4"/>
      <c r="R2061" s="4"/>
      <c r="S2061" s="4"/>
      <c r="T2061" s="4"/>
      <c r="U2061" s="4"/>
      <c r="V2061" s="4"/>
      <c r="W2061" s="4"/>
      <c r="X2061" s="4"/>
      <c r="Y2061" s="4"/>
      <c r="Z2061" s="4"/>
      <c r="AA2061" s="4"/>
      <c r="AB2061" s="5"/>
    </row>
    <row r="2062" spans="1:28" x14ac:dyDescent="0.35">
      <c r="A2062" s="3"/>
      <c r="B2062" s="4"/>
      <c r="C2062" s="4"/>
      <c r="D2062" s="4"/>
      <c r="E2062" s="4"/>
      <c r="F2062" s="4"/>
      <c r="G2062" s="4"/>
      <c r="H2062" s="4"/>
      <c r="I2062" s="4"/>
      <c r="J2062" s="4"/>
      <c r="K2062" s="4"/>
      <c r="L2062" s="4"/>
      <c r="M2062" s="4"/>
      <c r="N2062" s="4"/>
      <c r="O2062" s="4"/>
      <c r="P2062" s="4"/>
      <c r="Q2062" s="4"/>
      <c r="R2062" s="4"/>
      <c r="S2062" s="4"/>
      <c r="T2062" s="4"/>
      <c r="U2062" s="4"/>
      <c r="V2062" s="4"/>
      <c r="W2062" s="4"/>
      <c r="X2062" s="4"/>
      <c r="Y2062" s="4"/>
      <c r="Z2062" s="4"/>
      <c r="AA2062" s="4"/>
      <c r="AB2062" s="5"/>
    </row>
    <row r="2063" spans="1:28" x14ac:dyDescent="0.35">
      <c r="A2063" s="3"/>
      <c r="B2063" s="4"/>
      <c r="C2063" s="4"/>
      <c r="D2063" s="4"/>
      <c r="E2063" s="4"/>
      <c r="F2063" s="4"/>
      <c r="G2063" s="4"/>
      <c r="H2063" s="4"/>
      <c r="I2063" s="4"/>
      <c r="J2063" s="4"/>
      <c r="K2063" s="4"/>
      <c r="L2063" s="4"/>
      <c r="M2063" s="4"/>
      <c r="N2063" s="4"/>
      <c r="O2063" s="4"/>
      <c r="P2063" s="4"/>
      <c r="Q2063" s="4"/>
      <c r="R2063" s="4"/>
      <c r="S2063" s="4"/>
      <c r="T2063" s="4"/>
      <c r="U2063" s="4"/>
      <c r="V2063" s="4"/>
      <c r="W2063" s="4"/>
      <c r="X2063" s="4"/>
      <c r="Y2063" s="4"/>
      <c r="Z2063" s="4"/>
      <c r="AA2063" s="4"/>
      <c r="AB2063" s="5"/>
    </row>
    <row r="2064" spans="1:28" x14ac:dyDescent="0.35">
      <c r="A2064" s="3"/>
      <c r="B2064" s="4"/>
      <c r="C2064" s="4"/>
      <c r="D2064" s="4"/>
      <c r="E2064" s="4"/>
      <c r="F2064" s="4"/>
      <c r="G2064" s="4"/>
      <c r="H2064" s="4"/>
      <c r="I2064" s="4"/>
      <c r="J2064" s="4"/>
      <c r="K2064" s="4"/>
      <c r="L2064" s="4"/>
      <c r="M2064" s="4"/>
      <c r="N2064" s="4"/>
      <c r="O2064" s="4"/>
      <c r="P2064" s="4"/>
      <c r="Q2064" s="4"/>
      <c r="R2064" s="4"/>
      <c r="S2064" s="4"/>
      <c r="T2064" s="4"/>
      <c r="U2064" s="4"/>
      <c r="V2064" s="4"/>
      <c r="W2064" s="4"/>
      <c r="X2064" s="4"/>
      <c r="Y2064" s="4"/>
      <c r="Z2064" s="4"/>
      <c r="AA2064" s="4"/>
      <c r="AB2064" s="5"/>
    </row>
    <row r="2065" spans="1:28" x14ac:dyDescent="0.35">
      <c r="A2065" s="3"/>
      <c r="B2065" s="4"/>
      <c r="C2065" s="4"/>
      <c r="D2065" s="4"/>
      <c r="E2065" s="4"/>
      <c r="F2065" s="4"/>
      <c r="G2065" s="4"/>
      <c r="H2065" s="4"/>
      <c r="I2065" s="4"/>
      <c r="J2065" s="4"/>
      <c r="K2065" s="4"/>
      <c r="L2065" s="4"/>
      <c r="M2065" s="4"/>
      <c r="N2065" s="4"/>
      <c r="O2065" s="4"/>
      <c r="P2065" s="4"/>
      <c r="Q2065" s="4"/>
      <c r="R2065" s="4"/>
      <c r="S2065" s="4"/>
      <c r="T2065" s="4"/>
      <c r="U2065" s="4"/>
      <c r="V2065" s="4"/>
      <c r="W2065" s="4"/>
      <c r="X2065" s="4"/>
      <c r="Y2065" s="4"/>
      <c r="Z2065" s="4"/>
      <c r="AA2065" s="4"/>
      <c r="AB2065" s="5"/>
    </row>
    <row r="2066" spans="1:28" x14ac:dyDescent="0.35">
      <c r="A2066" s="3"/>
      <c r="B2066" s="4"/>
      <c r="C2066" s="4"/>
      <c r="D2066" s="4"/>
      <c r="E2066" s="4"/>
      <c r="F2066" s="4"/>
      <c r="G2066" s="4"/>
      <c r="H2066" s="4"/>
      <c r="I2066" s="4"/>
      <c r="J2066" s="4"/>
      <c r="K2066" s="4"/>
      <c r="L2066" s="4"/>
      <c r="M2066" s="4"/>
      <c r="N2066" s="4"/>
      <c r="O2066" s="4"/>
      <c r="P2066" s="4"/>
      <c r="Q2066" s="4"/>
      <c r="R2066" s="4"/>
      <c r="S2066" s="4"/>
      <c r="T2066" s="4"/>
      <c r="U2066" s="4"/>
      <c r="V2066" s="4"/>
      <c r="W2066" s="4"/>
      <c r="X2066" s="4"/>
      <c r="Y2066" s="4"/>
      <c r="Z2066" s="4"/>
      <c r="AA2066" s="4"/>
      <c r="AB2066" s="5"/>
    </row>
    <row r="2067" spans="1:28" x14ac:dyDescent="0.35">
      <c r="A2067" s="3"/>
      <c r="B2067" s="4"/>
      <c r="C2067" s="4"/>
      <c r="D2067" s="4"/>
      <c r="E2067" s="4"/>
      <c r="F2067" s="4"/>
      <c r="G2067" s="4"/>
      <c r="H2067" s="4"/>
      <c r="I2067" s="4"/>
      <c r="J2067" s="4"/>
      <c r="K2067" s="4"/>
      <c r="L2067" s="4"/>
      <c r="M2067" s="4"/>
      <c r="N2067" s="4"/>
      <c r="O2067" s="4"/>
      <c r="P2067" s="4"/>
      <c r="Q2067" s="4"/>
      <c r="R2067" s="4"/>
      <c r="S2067" s="4"/>
      <c r="T2067" s="4"/>
      <c r="U2067" s="4"/>
      <c r="V2067" s="4"/>
      <c r="W2067" s="4"/>
      <c r="X2067" s="4"/>
      <c r="Y2067" s="4"/>
      <c r="Z2067" s="4"/>
      <c r="AA2067" s="4"/>
      <c r="AB2067" s="5"/>
    </row>
    <row r="2068" spans="1:28" x14ac:dyDescent="0.35">
      <c r="A2068" s="3"/>
      <c r="B2068" s="4"/>
      <c r="C2068" s="4"/>
      <c r="D2068" s="4"/>
      <c r="E2068" s="4"/>
      <c r="F2068" s="4"/>
      <c r="G2068" s="4"/>
      <c r="H2068" s="4"/>
      <c r="I2068" s="4"/>
      <c r="J2068" s="4"/>
      <c r="K2068" s="4"/>
      <c r="L2068" s="4"/>
      <c r="M2068" s="4"/>
      <c r="N2068" s="4"/>
      <c r="O2068" s="4"/>
      <c r="P2068" s="4"/>
      <c r="Q2068" s="4"/>
      <c r="R2068" s="4"/>
      <c r="S2068" s="4"/>
      <c r="T2068" s="4"/>
      <c r="U2068" s="4"/>
      <c r="V2068" s="4"/>
      <c r="W2068" s="4"/>
      <c r="X2068" s="4"/>
      <c r="Y2068" s="4"/>
      <c r="Z2068" s="4"/>
      <c r="AA2068" s="4"/>
      <c r="AB2068" s="5"/>
    </row>
    <row r="2069" spans="1:28" x14ac:dyDescent="0.35">
      <c r="A2069" s="3"/>
      <c r="B2069" s="4"/>
      <c r="C2069" s="4"/>
      <c r="D2069" s="4"/>
      <c r="E2069" s="4"/>
      <c r="F2069" s="4"/>
      <c r="G2069" s="4"/>
      <c r="H2069" s="4"/>
      <c r="I2069" s="4"/>
      <c r="J2069" s="4"/>
      <c r="K2069" s="4"/>
      <c r="L2069" s="4"/>
      <c r="M2069" s="4"/>
      <c r="N2069" s="4"/>
      <c r="O2069" s="4"/>
      <c r="P2069" s="4"/>
      <c r="Q2069" s="4"/>
      <c r="R2069" s="4"/>
      <c r="S2069" s="4"/>
      <c r="T2069" s="4"/>
      <c r="U2069" s="4"/>
      <c r="V2069" s="4"/>
      <c r="W2069" s="4"/>
      <c r="X2069" s="4"/>
      <c r="Y2069" s="4"/>
      <c r="Z2069" s="4"/>
      <c r="AA2069" s="4"/>
      <c r="AB2069" s="5"/>
    </row>
    <row r="2070" spans="1:28" x14ac:dyDescent="0.35">
      <c r="A2070" s="3"/>
      <c r="B2070" s="4"/>
      <c r="C2070" s="4"/>
      <c r="D2070" s="4"/>
      <c r="E2070" s="4"/>
      <c r="F2070" s="4"/>
      <c r="G2070" s="4"/>
      <c r="H2070" s="4"/>
      <c r="I2070" s="4"/>
      <c r="J2070" s="4"/>
      <c r="K2070" s="4"/>
      <c r="L2070" s="4"/>
      <c r="M2070" s="4"/>
      <c r="N2070" s="4"/>
      <c r="O2070" s="4"/>
      <c r="P2070" s="4"/>
      <c r="Q2070" s="4"/>
      <c r="R2070" s="4"/>
      <c r="S2070" s="4"/>
      <c r="T2070" s="4"/>
      <c r="U2070" s="4"/>
      <c r="V2070" s="4"/>
      <c r="W2070" s="4"/>
      <c r="X2070" s="4"/>
      <c r="Y2070" s="4"/>
      <c r="Z2070" s="4"/>
      <c r="AA2070" s="4"/>
      <c r="AB2070" s="5"/>
    </row>
    <row r="2071" spans="1:28" x14ac:dyDescent="0.35">
      <c r="A2071" s="3"/>
      <c r="B2071" s="4"/>
      <c r="C2071" s="4"/>
      <c r="D2071" s="4"/>
      <c r="E2071" s="4"/>
      <c r="F2071" s="4"/>
      <c r="G2071" s="4"/>
      <c r="H2071" s="4"/>
      <c r="I2071" s="4"/>
      <c r="J2071" s="4"/>
      <c r="K2071" s="4"/>
      <c r="L2071" s="4"/>
      <c r="M2071" s="4"/>
      <c r="N2071" s="4"/>
      <c r="O2071" s="4"/>
      <c r="P2071" s="4"/>
      <c r="Q2071" s="4"/>
      <c r="R2071" s="4"/>
      <c r="S2071" s="4"/>
      <c r="T2071" s="4"/>
      <c r="U2071" s="4"/>
      <c r="V2071" s="4"/>
      <c r="W2071" s="4"/>
      <c r="X2071" s="4"/>
      <c r="Y2071" s="4"/>
      <c r="Z2071" s="4"/>
      <c r="AA2071" s="4"/>
      <c r="AB2071" s="5"/>
    </row>
    <row r="2072" spans="1:28" x14ac:dyDescent="0.35">
      <c r="A2072" s="3"/>
      <c r="B2072" s="4"/>
      <c r="C2072" s="4"/>
      <c r="D2072" s="4"/>
      <c r="E2072" s="4"/>
      <c r="F2072" s="4"/>
      <c r="G2072" s="4"/>
      <c r="H2072" s="4"/>
      <c r="I2072" s="4"/>
      <c r="J2072" s="4"/>
      <c r="K2072" s="4"/>
      <c r="L2072" s="4"/>
      <c r="M2072" s="4"/>
      <c r="N2072" s="4"/>
      <c r="O2072" s="4"/>
      <c r="P2072" s="4"/>
      <c r="Q2072" s="4"/>
      <c r="R2072" s="4"/>
      <c r="S2072" s="4"/>
      <c r="T2072" s="4"/>
      <c r="U2072" s="4"/>
      <c r="V2072" s="4"/>
      <c r="W2072" s="4"/>
      <c r="X2072" s="4"/>
      <c r="Y2072" s="4"/>
      <c r="Z2072" s="4"/>
      <c r="AA2072" s="4"/>
      <c r="AB2072" s="5"/>
    </row>
    <row r="2073" spans="1:28" x14ac:dyDescent="0.35">
      <c r="A2073" s="3"/>
      <c r="B2073" s="4"/>
      <c r="C2073" s="4"/>
      <c r="D2073" s="4"/>
      <c r="E2073" s="4"/>
      <c r="F2073" s="4"/>
      <c r="G2073" s="4"/>
      <c r="H2073" s="4"/>
      <c r="I2073" s="4"/>
      <c r="J2073" s="4"/>
      <c r="K2073" s="4"/>
      <c r="L2073" s="4"/>
      <c r="M2073" s="4"/>
      <c r="N2073" s="4"/>
      <c r="O2073" s="4"/>
      <c r="P2073" s="4"/>
      <c r="Q2073" s="4"/>
      <c r="R2073" s="4"/>
      <c r="S2073" s="4"/>
      <c r="T2073" s="4"/>
      <c r="U2073" s="4"/>
      <c r="V2073" s="4"/>
      <c r="W2073" s="4"/>
      <c r="X2073" s="4"/>
      <c r="Y2073" s="4"/>
      <c r="Z2073" s="4"/>
      <c r="AA2073" s="4"/>
      <c r="AB2073" s="5"/>
    </row>
    <row r="2074" spans="1:28" x14ac:dyDescent="0.35">
      <c r="A2074" s="3"/>
      <c r="B2074" s="4"/>
      <c r="C2074" s="4"/>
      <c r="D2074" s="4"/>
      <c r="E2074" s="4"/>
      <c r="F2074" s="4"/>
      <c r="G2074" s="4"/>
      <c r="H2074" s="4"/>
      <c r="I2074" s="4"/>
      <c r="J2074" s="4"/>
      <c r="K2074" s="4"/>
      <c r="L2074" s="4"/>
      <c r="M2074" s="4"/>
      <c r="N2074" s="4"/>
      <c r="O2074" s="4"/>
      <c r="P2074" s="4"/>
      <c r="Q2074" s="4"/>
      <c r="R2074" s="4"/>
      <c r="S2074" s="4"/>
      <c r="T2074" s="4"/>
      <c r="U2074" s="4"/>
      <c r="V2074" s="4"/>
      <c r="W2074" s="4"/>
      <c r="X2074" s="4"/>
      <c r="Y2074" s="4"/>
      <c r="Z2074" s="4"/>
      <c r="AA2074" s="4"/>
      <c r="AB2074" s="5"/>
    </row>
    <row r="2075" spans="1:28" x14ac:dyDescent="0.35">
      <c r="A2075" s="3"/>
      <c r="B2075" s="4"/>
      <c r="C2075" s="4"/>
      <c r="D2075" s="4"/>
      <c r="E2075" s="4"/>
      <c r="F2075" s="4"/>
      <c r="G2075" s="4"/>
      <c r="H2075" s="4"/>
      <c r="I2075" s="4"/>
      <c r="J2075" s="4"/>
      <c r="K2075" s="4"/>
      <c r="L2075" s="4"/>
      <c r="M2075" s="4"/>
      <c r="N2075" s="4"/>
      <c r="O2075" s="4"/>
      <c r="P2075" s="4"/>
      <c r="Q2075" s="4"/>
      <c r="R2075" s="4"/>
      <c r="S2075" s="4"/>
      <c r="T2075" s="4"/>
      <c r="U2075" s="4"/>
      <c r="V2075" s="4"/>
      <c r="W2075" s="4"/>
      <c r="X2075" s="4"/>
      <c r="Y2075" s="4"/>
      <c r="Z2075" s="4"/>
      <c r="AA2075" s="4"/>
      <c r="AB2075" s="5"/>
    </row>
    <row r="2076" spans="1:28" x14ac:dyDescent="0.35">
      <c r="A2076" s="3"/>
      <c r="B2076" s="4"/>
      <c r="C2076" s="4"/>
      <c r="D2076" s="4"/>
      <c r="E2076" s="4"/>
      <c r="F2076" s="4"/>
      <c r="G2076" s="4"/>
      <c r="H2076" s="4"/>
      <c r="I2076" s="4"/>
      <c r="J2076" s="4"/>
      <c r="K2076" s="4"/>
      <c r="L2076" s="4"/>
      <c r="M2076" s="4"/>
      <c r="N2076" s="4"/>
      <c r="O2076" s="4"/>
      <c r="P2076" s="4"/>
      <c r="Q2076" s="4"/>
      <c r="R2076" s="4"/>
      <c r="S2076" s="4"/>
      <c r="T2076" s="4"/>
      <c r="U2076" s="4"/>
      <c r="V2076" s="4"/>
      <c r="W2076" s="4"/>
      <c r="X2076" s="4"/>
      <c r="Y2076" s="4"/>
      <c r="Z2076" s="4"/>
      <c r="AA2076" s="4"/>
      <c r="AB2076" s="5"/>
    </row>
    <row r="2077" spans="1:28" x14ac:dyDescent="0.35">
      <c r="A2077" s="3"/>
      <c r="B2077" s="4"/>
      <c r="C2077" s="4"/>
      <c r="D2077" s="4"/>
      <c r="E2077" s="4"/>
      <c r="F2077" s="4"/>
      <c r="G2077" s="4"/>
      <c r="H2077" s="4"/>
      <c r="I2077" s="4"/>
      <c r="J2077" s="4"/>
      <c r="K2077" s="4"/>
      <c r="L2077" s="4"/>
      <c r="M2077" s="4"/>
      <c r="N2077" s="4"/>
      <c r="O2077" s="4"/>
      <c r="P2077" s="4"/>
      <c r="Q2077" s="4"/>
      <c r="R2077" s="4"/>
      <c r="S2077" s="4"/>
      <c r="T2077" s="4"/>
      <c r="U2077" s="4"/>
      <c r="V2077" s="4"/>
      <c r="W2077" s="4"/>
      <c r="X2077" s="4"/>
      <c r="Y2077" s="4"/>
      <c r="Z2077" s="4"/>
      <c r="AA2077" s="4"/>
      <c r="AB2077" s="5"/>
    </row>
    <row r="2078" spans="1:28" x14ac:dyDescent="0.35">
      <c r="A2078" s="3"/>
      <c r="B2078" s="4"/>
      <c r="C2078" s="4"/>
      <c r="D2078" s="4"/>
      <c r="E2078" s="4"/>
      <c r="F2078" s="4"/>
      <c r="G2078" s="4"/>
      <c r="H2078" s="4"/>
      <c r="I2078" s="4"/>
      <c r="J2078" s="4"/>
      <c r="K2078" s="4"/>
      <c r="L2078" s="4"/>
      <c r="M2078" s="4"/>
      <c r="N2078" s="4"/>
      <c r="O2078" s="4"/>
      <c r="P2078" s="4"/>
      <c r="Q2078" s="4"/>
      <c r="R2078" s="4"/>
      <c r="S2078" s="4"/>
      <c r="T2078" s="4"/>
      <c r="U2078" s="4"/>
      <c r="V2078" s="4"/>
      <c r="W2078" s="4"/>
      <c r="X2078" s="4"/>
      <c r="Y2078" s="4"/>
      <c r="Z2078" s="4"/>
      <c r="AA2078" s="4"/>
      <c r="AB2078" s="5"/>
    </row>
    <row r="2079" spans="1:28" x14ac:dyDescent="0.35">
      <c r="A2079" s="3"/>
      <c r="B2079" s="4"/>
      <c r="C2079" s="4"/>
      <c r="D2079" s="4"/>
      <c r="E2079" s="4"/>
      <c r="F2079" s="4"/>
      <c r="G2079" s="4"/>
      <c r="H2079" s="4"/>
      <c r="I2079" s="4"/>
      <c r="J2079" s="4"/>
      <c r="K2079" s="4"/>
      <c r="L2079" s="4"/>
      <c r="M2079" s="4"/>
      <c r="N2079" s="4"/>
      <c r="O2079" s="4"/>
      <c r="P2079" s="4"/>
      <c r="Q2079" s="4"/>
      <c r="R2079" s="4"/>
      <c r="S2079" s="4"/>
      <c r="T2079" s="4"/>
      <c r="U2079" s="4"/>
      <c r="V2079" s="4"/>
      <c r="W2079" s="4"/>
      <c r="X2079" s="4"/>
      <c r="Y2079" s="4"/>
      <c r="Z2079" s="4"/>
      <c r="AA2079" s="4"/>
      <c r="AB2079" s="5"/>
    </row>
    <row r="2080" spans="1:28" x14ac:dyDescent="0.35">
      <c r="A2080" s="3"/>
      <c r="B2080" s="4"/>
      <c r="C2080" s="4"/>
      <c r="D2080" s="4"/>
      <c r="E2080" s="4"/>
      <c r="F2080" s="4"/>
      <c r="G2080" s="4"/>
      <c r="H2080" s="4"/>
      <c r="I2080" s="4"/>
      <c r="J2080" s="4"/>
      <c r="K2080" s="4"/>
      <c r="L2080" s="4"/>
      <c r="M2080" s="4"/>
      <c r="N2080" s="4"/>
      <c r="O2080" s="4"/>
      <c r="P2080" s="4"/>
      <c r="Q2080" s="4"/>
      <c r="R2080" s="4"/>
      <c r="S2080" s="4"/>
      <c r="T2080" s="4"/>
      <c r="U2080" s="4"/>
      <c r="V2080" s="4"/>
      <c r="W2080" s="4"/>
      <c r="X2080" s="4"/>
      <c r="Y2080" s="4"/>
      <c r="Z2080" s="4"/>
      <c r="AA2080" s="4"/>
      <c r="AB2080" s="5"/>
    </row>
    <row r="2081" spans="1:28" x14ac:dyDescent="0.35">
      <c r="A2081" s="3"/>
      <c r="B2081" s="4"/>
      <c r="C2081" s="4"/>
      <c r="D2081" s="4"/>
      <c r="E2081" s="4"/>
      <c r="F2081" s="4"/>
      <c r="G2081" s="4"/>
      <c r="H2081" s="4"/>
      <c r="I2081" s="4"/>
      <c r="J2081" s="4"/>
      <c r="K2081" s="4"/>
      <c r="L2081" s="4"/>
      <c r="M2081" s="4"/>
      <c r="N2081" s="4"/>
      <c r="O2081" s="4"/>
      <c r="P2081" s="4"/>
      <c r="Q2081" s="4"/>
      <c r="R2081" s="4"/>
      <c r="S2081" s="4"/>
      <c r="T2081" s="4"/>
      <c r="U2081" s="4"/>
      <c r="V2081" s="4"/>
      <c r="W2081" s="4"/>
      <c r="X2081" s="4"/>
      <c r="Y2081" s="4"/>
      <c r="Z2081" s="4"/>
      <c r="AA2081" s="4"/>
      <c r="AB2081" s="5"/>
    </row>
    <row r="2082" spans="1:28" x14ac:dyDescent="0.35">
      <c r="A2082" s="3"/>
      <c r="B2082" s="4"/>
      <c r="C2082" s="4"/>
      <c r="D2082" s="4"/>
      <c r="E2082" s="4"/>
      <c r="F2082" s="4"/>
      <c r="G2082" s="4"/>
      <c r="H2082" s="4"/>
      <c r="I2082" s="4"/>
      <c r="J2082" s="4"/>
      <c r="K2082" s="4"/>
      <c r="L2082" s="4"/>
      <c r="M2082" s="4"/>
      <c r="N2082" s="4"/>
      <c r="O2082" s="4"/>
      <c r="P2082" s="4"/>
      <c r="Q2082" s="4"/>
      <c r="R2082" s="4"/>
      <c r="S2082" s="4"/>
      <c r="T2082" s="4"/>
      <c r="U2082" s="4"/>
      <c r="V2082" s="4"/>
      <c r="W2082" s="4"/>
      <c r="X2082" s="4"/>
      <c r="Y2082" s="4"/>
      <c r="Z2082" s="4"/>
      <c r="AA2082" s="4"/>
      <c r="AB2082" s="5"/>
    </row>
    <row r="2083" spans="1:28" x14ac:dyDescent="0.35">
      <c r="A2083" s="3"/>
      <c r="B2083" s="4"/>
      <c r="C2083" s="4"/>
      <c r="D2083" s="4"/>
      <c r="E2083" s="4"/>
      <c r="F2083" s="4"/>
      <c r="G2083" s="4"/>
      <c r="H2083" s="4"/>
      <c r="I2083" s="4"/>
      <c r="J2083" s="4"/>
      <c r="K2083" s="4"/>
      <c r="L2083" s="4"/>
      <c r="M2083" s="4"/>
      <c r="N2083" s="4"/>
      <c r="O2083" s="4"/>
      <c r="P2083" s="4"/>
      <c r="Q2083" s="4"/>
      <c r="R2083" s="4"/>
      <c r="S2083" s="4"/>
      <c r="T2083" s="4"/>
      <c r="U2083" s="4"/>
      <c r="V2083" s="4"/>
      <c r="W2083" s="4"/>
      <c r="X2083" s="4"/>
      <c r="Y2083" s="4"/>
      <c r="Z2083" s="4"/>
      <c r="AA2083" s="4"/>
      <c r="AB2083" s="5"/>
    </row>
    <row r="2084" spans="1:28" x14ac:dyDescent="0.35">
      <c r="A2084" s="3"/>
      <c r="B2084" s="4"/>
      <c r="C2084" s="4"/>
      <c r="D2084" s="4"/>
      <c r="E2084" s="4"/>
      <c r="F2084" s="4"/>
      <c r="G2084" s="4"/>
      <c r="H2084" s="4"/>
      <c r="I2084" s="4"/>
      <c r="J2084" s="4"/>
      <c r="K2084" s="4"/>
      <c r="L2084" s="4"/>
      <c r="M2084" s="4"/>
      <c r="N2084" s="4"/>
      <c r="O2084" s="4"/>
      <c r="P2084" s="4"/>
      <c r="Q2084" s="4"/>
      <c r="R2084" s="4"/>
      <c r="S2084" s="4"/>
      <c r="T2084" s="4"/>
      <c r="U2084" s="4"/>
      <c r="V2084" s="4"/>
      <c r="W2084" s="4"/>
      <c r="X2084" s="4"/>
      <c r="Y2084" s="4"/>
      <c r="Z2084" s="4"/>
      <c r="AA2084" s="4"/>
      <c r="AB2084" s="5"/>
    </row>
    <row r="2085" spans="1:28" x14ac:dyDescent="0.35">
      <c r="A2085" s="3"/>
      <c r="B2085" s="4"/>
      <c r="C2085" s="4"/>
      <c r="D2085" s="4"/>
      <c r="E2085" s="4"/>
      <c r="F2085" s="4"/>
      <c r="G2085" s="4"/>
      <c r="H2085" s="4"/>
      <c r="I2085" s="4"/>
      <c r="J2085" s="4"/>
      <c r="K2085" s="4"/>
      <c r="L2085" s="4"/>
      <c r="M2085" s="4"/>
      <c r="N2085" s="4"/>
      <c r="O2085" s="4"/>
      <c r="P2085" s="4"/>
      <c r="Q2085" s="4"/>
      <c r="R2085" s="4"/>
      <c r="S2085" s="4"/>
      <c r="T2085" s="4"/>
      <c r="U2085" s="4"/>
      <c r="V2085" s="4"/>
      <c r="W2085" s="4"/>
      <c r="X2085" s="4"/>
      <c r="Y2085" s="4"/>
      <c r="Z2085" s="4"/>
      <c r="AA2085" s="4"/>
      <c r="AB2085" s="5"/>
    </row>
    <row r="2086" spans="1:28" x14ac:dyDescent="0.35">
      <c r="A2086" s="3"/>
      <c r="B2086" s="4"/>
      <c r="C2086" s="4"/>
      <c r="D2086" s="4"/>
      <c r="E2086" s="4"/>
      <c r="F2086" s="4"/>
      <c r="G2086" s="4"/>
      <c r="H2086" s="4"/>
      <c r="I2086" s="4"/>
      <c r="J2086" s="4"/>
      <c r="K2086" s="4"/>
      <c r="L2086" s="4"/>
      <c r="M2086" s="4"/>
      <c r="N2086" s="4"/>
      <c r="O2086" s="4"/>
      <c r="P2086" s="4"/>
      <c r="Q2086" s="4"/>
      <c r="R2086" s="4"/>
      <c r="S2086" s="4"/>
      <c r="T2086" s="4"/>
      <c r="U2086" s="4"/>
      <c r="V2086" s="4"/>
      <c r="W2086" s="4"/>
      <c r="X2086" s="4"/>
      <c r="Y2086" s="4"/>
      <c r="Z2086" s="4"/>
      <c r="AA2086" s="4"/>
      <c r="AB2086" s="5"/>
    </row>
    <row r="2087" spans="1:28" x14ac:dyDescent="0.35">
      <c r="A2087" s="3"/>
      <c r="B2087" s="4"/>
      <c r="C2087" s="4"/>
      <c r="D2087" s="4"/>
      <c r="E2087" s="4"/>
      <c r="F2087" s="4"/>
      <c r="G2087" s="4"/>
      <c r="H2087" s="4"/>
      <c r="I2087" s="4"/>
      <c r="J2087" s="4"/>
      <c r="K2087" s="4"/>
      <c r="L2087" s="4"/>
      <c r="M2087" s="4"/>
      <c r="N2087" s="4"/>
      <c r="O2087" s="4"/>
      <c r="P2087" s="4"/>
      <c r="Q2087" s="4"/>
      <c r="R2087" s="4"/>
      <c r="S2087" s="4"/>
      <c r="T2087" s="4"/>
      <c r="U2087" s="4"/>
      <c r="V2087" s="4"/>
      <c r="W2087" s="4"/>
      <c r="X2087" s="4"/>
      <c r="Y2087" s="4"/>
      <c r="Z2087" s="4"/>
      <c r="AA2087" s="4"/>
      <c r="AB2087" s="5"/>
    </row>
    <row r="2088" spans="1:28" x14ac:dyDescent="0.35">
      <c r="A2088" s="3"/>
      <c r="B2088" s="4"/>
      <c r="C2088" s="4"/>
      <c r="D2088" s="4"/>
      <c r="E2088" s="4"/>
      <c r="F2088" s="4"/>
      <c r="G2088" s="4"/>
      <c r="H2088" s="4"/>
      <c r="I2088" s="4"/>
      <c r="J2088" s="4"/>
      <c r="K2088" s="4"/>
      <c r="L2088" s="4"/>
      <c r="M2088" s="4"/>
      <c r="N2088" s="4"/>
      <c r="O2088" s="4"/>
      <c r="P2088" s="4"/>
      <c r="Q2088" s="4"/>
      <c r="R2088" s="4"/>
      <c r="S2088" s="4"/>
      <c r="T2088" s="4"/>
      <c r="U2088" s="4"/>
      <c r="V2088" s="4"/>
      <c r="W2088" s="4"/>
      <c r="X2088" s="4"/>
      <c r="Y2088" s="4"/>
      <c r="Z2088" s="4"/>
      <c r="AA2088" s="4"/>
      <c r="AB2088" s="5"/>
    </row>
    <row r="2089" spans="1:28" x14ac:dyDescent="0.35">
      <c r="A2089" s="3"/>
      <c r="B2089" s="4"/>
      <c r="C2089" s="4"/>
      <c r="D2089" s="4"/>
      <c r="E2089" s="4"/>
      <c r="F2089" s="4"/>
      <c r="G2089" s="4"/>
      <c r="H2089" s="4"/>
      <c r="I2089" s="4"/>
      <c r="J2089" s="4"/>
      <c r="K2089" s="4"/>
      <c r="L2089" s="4"/>
      <c r="M2089" s="4"/>
      <c r="N2089" s="4"/>
      <c r="O2089" s="4"/>
      <c r="P2089" s="4"/>
      <c r="Q2089" s="4"/>
      <c r="R2089" s="4"/>
      <c r="S2089" s="4"/>
      <c r="T2089" s="4"/>
      <c r="U2089" s="4"/>
      <c r="V2089" s="4"/>
      <c r="W2089" s="4"/>
      <c r="X2089" s="4"/>
      <c r="Y2089" s="4"/>
      <c r="Z2089" s="4"/>
      <c r="AA2089" s="4"/>
      <c r="AB2089" s="5"/>
    </row>
    <row r="2090" spans="1:28" x14ac:dyDescent="0.35">
      <c r="A2090" s="3"/>
      <c r="B2090" s="4"/>
      <c r="C2090" s="4"/>
      <c r="D2090" s="4"/>
      <c r="E2090" s="4"/>
      <c r="F2090" s="4"/>
      <c r="G2090" s="4"/>
      <c r="H2090" s="4"/>
      <c r="I2090" s="4"/>
      <c r="J2090" s="4"/>
      <c r="K2090" s="4"/>
      <c r="L2090" s="4"/>
      <c r="M2090" s="4"/>
      <c r="N2090" s="4"/>
      <c r="O2090" s="4"/>
      <c r="P2090" s="4"/>
      <c r="Q2090" s="4"/>
      <c r="R2090" s="4"/>
      <c r="S2090" s="4"/>
      <c r="T2090" s="4"/>
      <c r="U2090" s="4"/>
      <c r="V2090" s="4"/>
      <c r="W2090" s="4"/>
      <c r="X2090" s="4"/>
      <c r="Y2090" s="4"/>
      <c r="Z2090" s="4"/>
      <c r="AA2090" s="4"/>
      <c r="AB2090" s="5"/>
    </row>
    <row r="2091" spans="1:28" x14ac:dyDescent="0.35">
      <c r="A2091" s="3"/>
      <c r="B2091" s="4"/>
      <c r="C2091" s="4"/>
      <c r="D2091" s="4"/>
      <c r="E2091" s="4"/>
      <c r="F2091" s="4"/>
      <c r="G2091" s="4"/>
      <c r="H2091" s="4"/>
      <c r="I2091" s="4"/>
      <c r="J2091" s="4"/>
      <c r="K2091" s="4"/>
      <c r="L2091" s="4"/>
      <c r="M2091" s="4"/>
      <c r="N2091" s="4"/>
      <c r="O2091" s="4"/>
      <c r="P2091" s="4"/>
      <c r="Q2091" s="4"/>
      <c r="R2091" s="4"/>
      <c r="S2091" s="4"/>
      <c r="T2091" s="4"/>
      <c r="U2091" s="4"/>
      <c r="V2091" s="4"/>
      <c r="W2091" s="4"/>
      <c r="X2091" s="4"/>
      <c r="Y2091" s="4"/>
      <c r="Z2091" s="4"/>
      <c r="AA2091" s="4"/>
      <c r="AB2091" s="5"/>
    </row>
    <row r="2092" spans="1:28" x14ac:dyDescent="0.35">
      <c r="A2092" s="3"/>
      <c r="B2092" s="4"/>
      <c r="C2092" s="4"/>
      <c r="D2092" s="4"/>
      <c r="E2092" s="4"/>
      <c r="F2092" s="4"/>
      <c r="G2092" s="4"/>
      <c r="H2092" s="4"/>
      <c r="I2092" s="4"/>
      <c r="J2092" s="4"/>
      <c r="K2092" s="4"/>
      <c r="L2092" s="4"/>
      <c r="M2092" s="4"/>
      <c r="N2092" s="4"/>
      <c r="O2092" s="4"/>
      <c r="P2092" s="4"/>
      <c r="Q2092" s="4"/>
      <c r="R2092" s="4"/>
      <c r="S2092" s="4"/>
      <c r="T2092" s="4"/>
      <c r="U2092" s="4"/>
      <c r="V2092" s="4"/>
      <c r="W2092" s="4"/>
      <c r="X2092" s="4"/>
      <c r="Y2092" s="4"/>
      <c r="Z2092" s="4"/>
      <c r="AA2092" s="4"/>
      <c r="AB2092" s="5"/>
    </row>
    <row r="2093" spans="1:28" x14ac:dyDescent="0.35">
      <c r="A2093" s="3"/>
      <c r="B2093" s="4"/>
      <c r="C2093" s="4"/>
      <c r="D2093" s="4"/>
      <c r="E2093" s="4"/>
      <c r="F2093" s="4"/>
      <c r="G2093" s="4"/>
      <c r="H2093" s="4"/>
      <c r="I2093" s="4"/>
      <c r="J2093" s="4"/>
      <c r="K2093" s="4"/>
      <c r="L2093" s="4"/>
      <c r="M2093" s="4"/>
      <c r="N2093" s="4"/>
      <c r="O2093" s="4"/>
      <c r="P2093" s="4"/>
      <c r="Q2093" s="4"/>
      <c r="R2093" s="4"/>
      <c r="S2093" s="4"/>
      <c r="T2093" s="4"/>
      <c r="U2093" s="4"/>
      <c r="V2093" s="4"/>
      <c r="W2093" s="4"/>
      <c r="X2093" s="4"/>
      <c r="Y2093" s="4"/>
      <c r="Z2093" s="4"/>
      <c r="AA2093" s="4"/>
      <c r="AB2093" s="5"/>
    </row>
    <row r="2094" spans="1:28" x14ac:dyDescent="0.35">
      <c r="A2094" s="3"/>
      <c r="B2094" s="4"/>
      <c r="C2094" s="4"/>
      <c r="D2094" s="4"/>
      <c r="E2094" s="4"/>
      <c r="F2094" s="4"/>
      <c r="G2094" s="4"/>
      <c r="H2094" s="4"/>
      <c r="I2094" s="4"/>
      <c r="J2094" s="4"/>
      <c r="K2094" s="4"/>
      <c r="L2094" s="4"/>
      <c r="M2094" s="4"/>
      <c r="N2094" s="4"/>
      <c r="O2094" s="4"/>
      <c r="P2094" s="4"/>
      <c r="Q2094" s="4"/>
      <c r="R2094" s="4"/>
      <c r="S2094" s="4"/>
      <c r="T2094" s="4"/>
      <c r="U2094" s="4"/>
      <c r="V2094" s="4"/>
      <c r="W2094" s="4"/>
      <c r="X2094" s="4"/>
      <c r="Y2094" s="4"/>
      <c r="Z2094" s="4"/>
      <c r="AA2094" s="4"/>
      <c r="AB2094" s="5"/>
    </row>
    <row r="2095" spans="1:28" x14ac:dyDescent="0.35">
      <c r="A2095" s="3"/>
      <c r="B2095" s="4"/>
      <c r="C2095" s="4"/>
      <c r="D2095" s="4"/>
      <c r="E2095" s="4"/>
      <c r="F2095" s="4"/>
      <c r="G2095" s="4"/>
      <c r="H2095" s="4"/>
      <c r="I2095" s="4"/>
      <c r="J2095" s="4"/>
      <c r="K2095" s="4"/>
      <c r="L2095" s="4"/>
      <c r="M2095" s="4"/>
      <c r="N2095" s="4"/>
      <c r="O2095" s="4"/>
      <c r="P2095" s="4"/>
      <c r="Q2095" s="4"/>
      <c r="R2095" s="4"/>
      <c r="S2095" s="4"/>
      <c r="T2095" s="4"/>
      <c r="U2095" s="4"/>
      <c r="V2095" s="4"/>
      <c r="W2095" s="4"/>
      <c r="X2095" s="4"/>
      <c r="Y2095" s="4"/>
      <c r="Z2095" s="4"/>
      <c r="AA2095" s="4"/>
      <c r="AB2095" s="5"/>
    </row>
    <row r="2096" spans="1:28" x14ac:dyDescent="0.35">
      <c r="A2096" s="3"/>
      <c r="B2096" s="4"/>
      <c r="C2096" s="4"/>
      <c r="D2096" s="4"/>
      <c r="E2096" s="4"/>
      <c r="F2096" s="4"/>
      <c r="G2096" s="4"/>
      <c r="H2096" s="4"/>
      <c r="I2096" s="4"/>
      <c r="J2096" s="4"/>
      <c r="K2096" s="4"/>
      <c r="L2096" s="4"/>
      <c r="M2096" s="4"/>
      <c r="N2096" s="4"/>
      <c r="O2096" s="4"/>
      <c r="P2096" s="4"/>
      <c r="Q2096" s="4"/>
      <c r="R2096" s="4"/>
      <c r="S2096" s="4"/>
      <c r="T2096" s="4"/>
      <c r="U2096" s="4"/>
      <c r="V2096" s="4"/>
      <c r="W2096" s="4"/>
      <c r="X2096" s="4"/>
      <c r="Y2096" s="4"/>
      <c r="Z2096" s="4"/>
      <c r="AA2096" s="4"/>
      <c r="AB2096" s="5"/>
    </row>
    <row r="2097" spans="1:28" x14ac:dyDescent="0.35">
      <c r="A2097" s="3"/>
      <c r="B2097" s="4"/>
      <c r="C2097" s="4"/>
      <c r="D2097" s="4"/>
      <c r="E2097" s="4"/>
      <c r="F2097" s="4"/>
      <c r="G2097" s="4"/>
      <c r="H2097" s="4"/>
      <c r="I2097" s="4"/>
      <c r="J2097" s="4"/>
      <c r="K2097" s="4"/>
      <c r="L2097" s="4"/>
      <c r="M2097" s="4"/>
      <c r="N2097" s="4"/>
      <c r="O2097" s="4"/>
      <c r="P2097" s="4"/>
      <c r="Q2097" s="4"/>
      <c r="R2097" s="4"/>
      <c r="S2097" s="4"/>
      <c r="T2097" s="4"/>
      <c r="U2097" s="4"/>
      <c r="V2097" s="4"/>
      <c r="W2097" s="4"/>
      <c r="X2097" s="4"/>
      <c r="Y2097" s="4"/>
      <c r="Z2097" s="4"/>
      <c r="AA2097" s="4"/>
      <c r="AB2097" s="5"/>
    </row>
    <row r="2098" spans="1:28" x14ac:dyDescent="0.35">
      <c r="A2098" s="3"/>
      <c r="B2098" s="4"/>
      <c r="C2098" s="4"/>
      <c r="D2098" s="4"/>
      <c r="E2098" s="4"/>
      <c r="F2098" s="4"/>
      <c r="G2098" s="4"/>
      <c r="H2098" s="4"/>
      <c r="I2098" s="4"/>
      <c r="J2098" s="4"/>
      <c r="K2098" s="4"/>
      <c r="L2098" s="4"/>
      <c r="M2098" s="4"/>
      <c r="N2098" s="4"/>
      <c r="O2098" s="4"/>
      <c r="P2098" s="4"/>
      <c r="Q2098" s="4"/>
      <c r="R2098" s="4"/>
      <c r="S2098" s="4"/>
      <c r="T2098" s="4"/>
      <c r="U2098" s="4"/>
      <c r="V2098" s="4"/>
      <c r="W2098" s="4"/>
      <c r="X2098" s="4"/>
      <c r="Y2098" s="4"/>
      <c r="Z2098" s="4"/>
      <c r="AA2098" s="4"/>
      <c r="AB2098" s="5"/>
    </row>
    <row r="2099" spans="1:28" x14ac:dyDescent="0.35">
      <c r="A2099" s="3"/>
      <c r="B2099" s="4"/>
      <c r="C2099" s="4"/>
      <c r="D2099" s="4"/>
      <c r="E2099" s="4"/>
      <c r="F2099" s="4"/>
      <c r="G2099" s="4"/>
      <c r="H2099" s="4"/>
      <c r="I2099" s="4"/>
      <c r="J2099" s="4"/>
      <c r="K2099" s="4"/>
      <c r="L2099" s="4"/>
      <c r="M2099" s="4"/>
      <c r="N2099" s="4"/>
      <c r="O2099" s="4"/>
      <c r="P2099" s="4"/>
      <c r="Q2099" s="4"/>
      <c r="R2099" s="4"/>
      <c r="S2099" s="4"/>
      <c r="T2099" s="4"/>
      <c r="U2099" s="4"/>
      <c r="V2099" s="4"/>
      <c r="W2099" s="4"/>
      <c r="X2099" s="4"/>
      <c r="Y2099" s="4"/>
      <c r="Z2099" s="4"/>
      <c r="AA2099" s="4"/>
      <c r="AB2099" s="5"/>
    </row>
    <row r="2100" spans="1:28" x14ac:dyDescent="0.35">
      <c r="A2100" s="3"/>
      <c r="B2100" s="4"/>
      <c r="C2100" s="4"/>
      <c r="D2100" s="4"/>
      <c r="E2100" s="4"/>
      <c r="F2100" s="4"/>
      <c r="G2100" s="4"/>
      <c r="H2100" s="4"/>
      <c r="I2100" s="4"/>
      <c r="J2100" s="4"/>
      <c r="K2100" s="4"/>
      <c r="L2100" s="4"/>
      <c r="M2100" s="4"/>
      <c r="N2100" s="4"/>
      <c r="O2100" s="4"/>
      <c r="P2100" s="4"/>
      <c r="Q2100" s="4"/>
      <c r="R2100" s="4"/>
      <c r="S2100" s="4"/>
      <c r="T2100" s="4"/>
      <c r="U2100" s="4"/>
      <c r="V2100" s="4"/>
      <c r="W2100" s="4"/>
      <c r="X2100" s="4"/>
      <c r="Y2100" s="4"/>
      <c r="Z2100" s="4"/>
      <c r="AA2100" s="4"/>
      <c r="AB2100" s="5"/>
    </row>
    <row r="2101" spans="1:28" x14ac:dyDescent="0.35">
      <c r="A2101" s="3"/>
      <c r="B2101" s="4"/>
      <c r="C2101" s="4"/>
      <c r="D2101" s="4"/>
      <c r="E2101" s="4"/>
      <c r="F2101" s="4"/>
      <c r="G2101" s="4"/>
      <c r="H2101" s="4"/>
      <c r="I2101" s="4"/>
      <c r="J2101" s="4"/>
      <c r="K2101" s="4"/>
      <c r="L2101" s="4"/>
      <c r="M2101" s="4"/>
      <c r="N2101" s="4"/>
      <c r="O2101" s="4"/>
      <c r="P2101" s="4"/>
      <c r="Q2101" s="4"/>
      <c r="R2101" s="4"/>
      <c r="S2101" s="4"/>
      <c r="T2101" s="4"/>
      <c r="U2101" s="4"/>
      <c r="V2101" s="4"/>
      <c r="W2101" s="4"/>
      <c r="X2101" s="4"/>
      <c r="Y2101" s="4"/>
      <c r="Z2101" s="4"/>
      <c r="AA2101" s="4"/>
      <c r="AB2101" s="5"/>
    </row>
    <row r="2102" spans="1:28" x14ac:dyDescent="0.35">
      <c r="A2102" s="3"/>
      <c r="B2102" s="4"/>
      <c r="C2102" s="4"/>
      <c r="D2102" s="4"/>
      <c r="E2102" s="4"/>
      <c r="F2102" s="4"/>
      <c r="G2102" s="4"/>
      <c r="H2102" s="4"/>
      <c r="I2102" s="4"/>
      <c r="J2102" s="4"/>
      <c r="K2102" s="4"/>
      <c r="L2102" s="4"/>
      <c r="M2102" s="4"/>
      <c r="N2102" s="4"/>
      <c r="O2102" s="4"/>
      <c r="P2102" s="4"/>
      <c r="Q2102" s="4"/>
      <c r="R2102" s="4"/>
      <c r="S2102" s="4"/>
      <c r="T2102" s="4"/>
      <c r="U2102" s="4"/>
      <c r="V2102" s="4"/>
      <c r="W2102" s="4"/>
      <c r="X2102" s="4"/>
      <c r="Y2102" s="4"/>
      <c r="Z2102" s="4"/>
      <c r="AA2102" s="4"/>
      <c r="AB2102" s="5"/>
    </row>
    <row r="2103" spans="1:28" x14ac:dyDescent="0.35">
      <c r="A2103" s="3"/>
      <c r="B2103" s="4"/>
      <c r="C2103" s="4"/>
      <c r="D2103" s="4"/>
      <c r="E2103" s="4"/>
      <c r="F2103" s="4"/>
      <c r="G2103" s="4"/>
      <c r="H2103" s="4"/>
      <c r="I2103" s="4"/>
      <c r="J2103" s="4"/>
      <c r="K2103" s="4"/>
      <c r="L2103" s="4"/>
      <c r="M2103" s="4"/>
      <c r="N2103" s="4"/>
      <c r="O2103" s="4"/>
      <c r="P2103" s="4"/>
      <c r="Q2103" s="4"/>
      <c r="R2103" s="4"/>
      <c r="S2103" s="4"/>
      <c r="T2103" s="4"/>
      <c r="U2103" s="4"/>
      <c r="V2103" s="4"/>
      <c r="W2103" s="4"/>
      <c r="X2103" s="4"/>
      <c r="Y2103" s="4"/>
      <c r="Z2103" s="4"/>
      <c r="AA2103" s="4"/>
      <c r="AB2103" s="5"/>
    </row>
    <row r="2104" spans="1:28" x14ac:dyDescent="0.35">
      <c r="A2104" s="3"/>
      <c r="B2104" s="4"/>
      <c r="C2104" s="4"/>
      <c r="D2104" s="4"/>
      <c r="E2104" s="4"/>
      <c r="F2104" s="4"/>
      <c r="G2104" s="4"/>
      <c r="H2104" s="4"/>
      <c r="I2104" s="4"/>
      <c r="J2104" s="4"/>
      <c r="K2104" s="4"/>
      <c r="L2104" s="4"/>
      <c r="M2104" s="4"/>
      <c r="N2104" s="4"/>
      <c r="O2104" s="4"/>
      <c r="P2104" s="4"/>
      <c r="Q2104" s="4"/>
      <c r="R2104" s="4"/>
      <c r="S2104" s="4"/>
      <c r="T2104" s="4"/>
      <c r="U2104" s="4"/>
      <c r="V2104" s="4"/>
      <c r="W2104" s="4"/>
      <c r="X2104" s="4"/>
      <c r="Y2104" s="4"/>
      <c r="Z2104" s="4"/>
      <c r="AA2104" s="4"/>
      <c r="AB2104" s="5"/>
    </row>
    <row r="2105" spans="1:28" x14ac:dyDescent="0.35">
      <c r="A2105" s="3"/>
      <c r="B2105" s="4"/>
      <c r="C2105" s="4"/>
      <c r="D2105" s="4"/>
      <c r="E2105" s="4"/>
      <c r="F2105" s="4"/>
      <c r="G2105" s="4"/>
      <c r="H2105" s="4"/>
      <c r="I2105" s="4"/>
      <c r="J2105" s="4"/>
      <c r="K2105" s="4"/>
      <c r="L2105" s="4"/>
      <c r="M2105" s="4"/>
      <c r="N2105" s="4"/>
      <c r="O2105" s="4"/>
      <c r="P2105" s="4"/>
      <c r="Q2105" s="4"/>
      <c r="R2105" s="4"/>
      <c r="S2105" s="4"/>
      <c r="T2105" s="4"/>
      <c r="U2105" s="4"/>
      <c r="V2105" s="4"/>
      <c r="W2105" s="4"/>
      <c r="X2105" s="4"/>
      <c r="Y2105" s="4"/>
      <c r="Z2105" s="4"/>
      <c r="AA2105" s="4"/>
      <c r="AB2105" s="5"/>
    </row>
    <row r="2106" spans="1:28" x14ac:dyDescent="0.35">
      <c r="A2106" s="3"/>
      <c r="B2106" s="4"/>
      <c r="C2106" s="4"/>
      <c r="D2106" s="4"/>
      <c r="E2106" s="4"/>
      <c r="F2106" s="4"/>
      <c r="G2106" s="4"/>
      <c r="H2106" s="4"/>
      <c r="I2106" s="4"/>
      <c r="J2106" s="4"/>
      <c r="K2106" s="4"/>
      <c r="L2106" s="4"/>
      <c r="M2106" s="4"/>
      <c r="N2106" s="4"/>
      <c r="O2106" s="4"/>
      <c r="P2106" s="4"/>
      <c r="Q2106" s="4"/>
      <c r="R2106" s="4"/>
      <c r="S2106" s="4"/>
      <c r="T2106" s="4"/>
      <c r="U2106" s="4"/>
      <c r="V2106" s="4"/>
      <c r="W2106" s="4"/>
      <c r="X2106" s="4"/>
      <c r="Y2106" s="4"/>
      <c r="Z2106" s="4"/>
      <c r="AA2106" s="4"/>
      <c r="AB2106" s="5"/>
    </row>
    <row r="2107" spans="1:28" x14ac:dyDescent="0.35">
      <c r="A2107" s="3"/>
      <c r="B2107" s="4"/>
      <c r="C2107" s="4"/>
      <c r="D2107" s="4"/>
      <c r="E2107" s="4"/>
      <c r="F2107" s="4"/>
      <c r="G2107" s="4"/>
      <c r="H2107" s="4"/>
      <c r="I2107" s="4"/>
      <c r="J2107" s="4"/>
      <c r="K2107" s="4"/>
      <c r="L2107" s="4"/>
      <c r="M2107" s="4"/>
      <c r="N2107" s="4"/>
      <c r="O2107" s="4"/>
      <c r="P2107" s="4"/>
      <c r="Q2107" s="4"/>
      <c r="R2107" s="4"/>
      <c r="S2107" s="4"/>
      <c r="T2107" s="4"/>
      <c r="U2107" s="4"/>
      <c r="V2107" s="4"/>
      <c r="W2107" s="4"/>
      <c r="X2107" s="4"/>
      <c r="Y2107" s="4"/>
      <c r="Z2107" s="4"/>
      <c r="AA2107" s="4"/>
      <c r="AB2107" s="5"/>
    </row>
    <row r="2108" spans="1:28" x14ac:dyDescent="0.35">
      <c r="A2108" s="3"/>
      <c r="B2108" s="4"/>
      <c r="C2108" s="4"/>
      <c r="D2108" s="4"/>
      <c r="E2108" s="4"/>
      <c r="F2108" s="4"/>
      <c r="G2108" s="4"/>
      <c r="H2108" s="4"/>
      <c r="I2108" s="4"/>
      <c r="J2108" s="4"/>
      <c r="K2108" s="4"/>
      <c r="L2108" s="4"/>
      <c r="M2108" s="4"/>
      <c r="N2108" s="4"/>
      <c r="O2108" s="4"/>
      <c r="P2108" s="4"/>
      <c r="Q2108" s="4"/>
      <c r="R2108" s="4"/>
      <c r="S2108" s="4"/>
      <c r="T2108" s="4"/>
      <c r="U2108" s="4"/>
      <c r="V2108" s="4"/>
      <c r="W2108" s="4"/>
      <c r="X2108" s="4"/>
      <c r="Y2108" s="4"/>
      <c r="Z2108" s="4"/>
      <c r="AA2108" s="4"/>
      <c r="AB2108" s="5"/>
    </row>
    <row r="2109" spans="1:28" x14ac:dyDescent="0.35">
      <c r="A2109" s="3"/>
      <c r="B2109" s="4"/>
      <c r="C2109" s="4"/>
      <c r="D2109" s="4"/>
      <c r="E2109" s="4"/>
      <c r="F2109" s="4"/>
      <c r="G2109" s="4"/>
      <c r="H2109" s="4"/>
      <c r="I2109" s="4"/>
      <c r="J2109" s="4"/>
      <c r="K2109" s="4"/>
      <c r="L2109" s="4"/>
      <c r="M2109" s="4"/>
      <c r="N2109" s="4"/>
      <c r="O2109" s="4"/>
      <c r="P2109" s="4"/>
      <c r="Q2109" s="4"/>
      <c r="R2109" s="4"/>
      <c r="S2109" s="4"/>
      <c r="T2109" s="4"/>
      <c r="U2109" s="4"/>
      <c r="V2109" s="4"/>
      <c r="W2109" s="4"/>
      <c r="X2109" s="4"/>
      <c r="Y2109" s="4"/>
      <c r="Z2109" s="4"/>
      <c r="AA2109" s="4"/>
      <c r="AB2109" s="5"/>
    </row>
    <row r="2110" spans="1:28" x14ac:dyDescent="0.35">
      <c r="A2110" s="3"/>
      <c r="B2110" s="4"/>
      <c r="C2110" s="4"/>
      <c r="D2110" s="4"/>
      <c r="E2110" s="4"/>
      <c r="F2110" s="4"/>
      <c r="G2110" s="4"/>
      <c r="H2110" s="4"/>
      <c r="I2110" s="4"/>
      <c r="J2110" s="4"/>
      <c r="K2110" s="4"/>
      <c r="L2110" s="4"/>
      <c r="M2110" s="4"/>
      <c r="N2110" s="4"/>
      <c r="O2110" s="4"/>
      <c r="P2110" s="4"/>
      <c r="Q2110" s="4"/>
      <c r="R2110" s="4"/>
      <c r="S2110" s="4"/>
      <c r="T2110" s="4"/>
      <c r="U2110" s="4"/>
      <c r="V2110" s="4"/>
      <c r="W2110" s="4"/>
      <c r="X2110" s="4"/>
      <c r="Y2110" s="4"/>
      <c r="Z2110" s="4"/>
      <c r="AA2110" s="4"/>
      <c r="AB2110" s="5"/>
    </row>
    <row r="2111" spans="1:28" x14ac:dyDescent="0.35">
      <c r="A2111" s="3"/>
      <c r="B2111" s="4"/>
      <c r="C2111" s="4"/>
      <c r="D2111" s="4"/>
      <c r="E2111" s="4"/>
      <c r="F2111" s="4"/>
      <c r="G2111" s="4"/>
      <c r="H2111" s="4"/>
      <c r="I2111" s="4"/>
      <c r="J2111" s="4"/>
      <c r="K2111" s="4"/>
      <c r="L2111" s="4"/>
      <c r="M2111" s="4"/>
      <c r="N2111" s="4"/>
      <c r="O2111" s="4"/>
      <c r="P2111" s="4"/>
      <c r="Q2111" s="4"/>
      <c r="R2111" s="4"/>
      <c r="S2111" s="4"/>
      <c r="T2111" s="4"/>
      <c r="U2111" s="4"/>
      <c r="V2111" s="4"/>
      <c r="W2111" s="4"/>
      <c r="X2111" s="4"/>
      <c r="Y2111" s="4"/>
      <c r="Z2111" s="4"/>
      <c r="AA2111" s="4"/>
      <c r="AB2111" s="5"/>
    </row>
    <row r="2112" spans="1:28" x14ac:dyDescent="0.35">
      <c r="A2112" s="3"/>
      <c r="B2112" s="4"/>
      <c r="C2112" s="4"/>
      <c r="D2112" s="4"/>
      <c r="E2112" s="4"/>
      <c r="F2112" s="4"/>
      <c r="G2112" s="4"/>
      <c r="H2112" s="4"/>
      <c r="I2112" s="4"/>
      <c r="J2112" s="4"/>
      <c r="K2112" s="4"/>
      <c r="L2112" s="4"/>
      <c r="M2112" s="4"/>
      <c r="N2112" s="4"/>
      <c r="O2112" s="4"/>
      <c r="P2112" s="4"/>
      <c r="Q2112" s="4"/>
      <c r="R2112" s="4"/>
      <c r="S2112" s="4"/>
      <c r="T2112" s="4"/>
      <c r="U2112" s="4"/>
      <c r="V2112" s="4"/>
      <c r="W2112" s="4"/>
      <c r="X2112" s="4"/>
      <c r="Y2112" s="4"/>
      <c r="Z2112" s="4"/>
      <c r="AA2112" s="4"/>
      <c r="AB2112" s="5"/>
    </row>
    <row r="2113" spans="1:28" x14ac:dyDescent="0.35">
      <c r="A2113" s="3"/>
      <c r="B2113" s="4"/>
      <c r="C2113" s="4"/>
      <c r="D2113" s="4"/>
      <c r="E2113" s="4"/>
      <c r="F2113" s="4"/>
      <c r="G2113" s="4"/>
      <c r="H2113" s="4"/>
      <c r="I2113" s="4"/>
      <c r="J2113" s="4"/>
      <c r="K2113" s="4"/>
      <c r="L2113" s="4"/>
      <c r="M2113" s="4"/>
      <c r="N2113" s="4"/>
      <c r="O2113" s="4"/>
      <c r="P2113" s="4"/>
      <c r="Q2113" s="4"/>
      <c r="R2113" s="4"/>
      <c r="S2113" s="4"/>
      <c r="T2113" s="4"/>
      <c r="U2113" s="4"/>
      <c r="V2113" s="4"/>
      <c r="W2113" s="4"/>
      <c r="X2113" s="4"/>
      <c r="Y2113" s="4"/>
      <c r="Z2113" s="4"/>
      <c r="AA2113" s="4"/>
      <c r="AB2113" s="5"/>
    </row>
    <row r="2114" spans="1:28" x14ac:dyDescent="0.35">
      <c r="A2114" s="3"/>
      <c r="B2114" s="4"/>
      <c r="C2114" s="4"/>
      <c r="D2114" s="4"/>
      <c r="E2114" s="4"/>
      <c r="F2114" s="4"/>
      <c r="G2114" s="4"/>
      <c r="H2114" s="4"/>
      <c r="I2114" s="4"/>
      <c r="J2114" s="4"/>
      <c r="K2114" s="4"/>
      <c r="L2114" s="4"/>
      <c r="M2114" s="4"/>
      <c r="N2114" s="4"/>
      <c r="O2114" s="4"/>
      <c r="P2114" s="4"/>
      <c r="Q2114" s="4"/>
      <c r="R2114" s="4"/>
      <c r="S2114" s="4"/>
      <c r="T2114" s="4"/>
      <c r="U2114" s="4"/>
      <c r="V2114" s="4"/>
      <c r="W2114" s="4"/>
      <c r="X2114" s="4"/>
      <c r="Y2114" s="4"/>
      <c r="Z2114" s="4"/>
      <c r="AA2114" s="4"/>
      <c r="AB2114" s="5"/>
    </row>
    <row r="2115" spans="1:28" x14ac:dyDescent="0.35">
      <c r="A2115" s="3"/>
      <c r="B2115" s="4"/>
      <c r="C2115" s="4"/>
      <c r="D2115" s="4"/>
      <c r="E2115" s="4"/>
      <c r="F2115" s="4"/>
      <c r="G2115" s="4"/>
      <c r="H2115" s="4"/>
      <c r="I2115" s="4"/>
      <c r="J2115" s="4"/>
      <c r="K2115" s="4"/>
      <c r="L2115" s="4"/>
      <c r="M2115" s="4"/>
      <c r="N2115" s="4"/>
      <c r="O2115" s="4"/>
      <c r="P2115" s="4"/>
      <c r="Q2115" s="4"/>
      <c r="R2115" s="4"/>
      <c r="S2115" s="4"/>
      <c r="T2115" s="4"/>
      <c r="U2115" s="4"/>
      <c r="V2115" s="4"/>
      <c r="W2115" s="4"/>
      <c r="X2115" s="4"/>
      <c r="Y2115" s="4"/>
      <c r="Z2115" s="4"/>
      <c r="AA2115" s="4"/>
      <c r="AB2115" s="5"/>
    </row>
    <row r="2116" spans="1:28" x14ac:dyDescent="0.35">
      <c r="A2116" s="3"/>
      <c r="B2116" s="4"/>
      <c r="C2116" s="4"/>
      <c r="D2116" s="4"/>
      <c r="E2116" s="4"/>
      <c r="F2116" s="4"/>
      <c r="G2116" s="4"/>
      <c r="H2116" s="4"/>
      <c r="I2116" s="4"/>
      <c r="J2116" s="4"/>
      <c r="K2116" s="4"/>
      <c r="L2116" s="4"/>
      <c r="M2116" s="4"/>
      <c r="N2116" s="4"/>
      <c r="O2116" s="4"/>
      <c r="P2116" s="4"/>
      <c r="Q2116" s="4"/>
      <c r="R2116" s="4"/>
      <c r="S2116" s="4"/>
      <c r="T2116" s="4"/>
      <c r="U2116" s="4"/>
      <c r="V2116" s="4"/>
      <c r="W2116" s="4"/>
      <c r="X2116" s="4"/>
      <c r="Y2116" s="4"/>
      <c r="Z2116" s="4"/>
      <c r="AA2116" s="4"/>
      <c r="AB2116" s="5"/>
    </row>
    <row r="2117" spans="1:28" x14ac:dyDescent="0.35">
      <c r="A2117" s="3"/>
      <c r="B2117" s="4"/>
      <c r="C2117" s="4"/>
      <c r="D2117" s="4"/>
      <c r="E2117" s="4"/>
      <c r="F2117" s="4"/>
      <c r="G2117" s="4"/>
      <c r="H2117" s="4"/>
      <c r="I2117" s="4"/>
      <c r="J2117" s="4"/>
      <c r="K2117" s="4"/>
      <c r="L2117" s="4"/>
      <c r="M2117" s="4"/>
      <c r="N2117" s="4"/>
      <c r="O2117" s="4"/>
      <c r="P2117" s="4"/>
      <c r="Q2117" s="4"/>
      <c r="R2117" s="4"/>
      <c r="S2117" s="4"/>
      <c r="T2117" s="4"/>
      <c r="U2117" s="4"/>
      <c r="V2117" s="4"/>
      <c r="W2117" s="4"/>
      <c r="X2117" s="4"/>
      <c r="Y2117" s="4"/>
      <c r="Z2117" s="4"/>
      <c r="AA2117" s="4"/>
      <c r="AB2117" s="5"/>
    </row>
    <row r="2118" spans="1:28" x14ac:dyDescent="0.35">
      <c r="A2118" s="3"/>
      <c r="B2118" s="4"/>
      <c r="C2118" s="4"/>
      <c r="D2118" s="4"/>
      <c r="E2118" s="4"/>
      <c r="F2118" s="4"/>
      <c r="G2118" s="4"/>
      <c r="H2118" s="4"/>
      <c r="I2118" s="4"/>
      <c r="J2118" s="4"/>
      <c r="K2118" s="4"/>
      <c r="L2118" s="4"/>
      <c r="M2118" s="4"/>
      <c r="N2118" s="4"/>
      <c r="O2118" s="4"/>
      <c r="P2118" s="4"/>
      <c r="Q2118" s="4"/>
      <c r="R2118" s="4"/>
      <c r="S2118" s="4"/>
      <c r="T2118" s="4"/>
      <c r="U2118" s="4"/>
      <c r="V2118" s="4"/>
      <c r="W2118" s="4"/>
      <c r="X2118" s="4"/>
      <c r="Y2118" s="4"/>
      <c r="Z2118" s="4"/>
      <c r="AA2118" s="4"/>
      <c r="AB2118" s="5"/>
    </row>
    <row r="2119" spans="1:28" x14ac:dyDescent="0.35">
      <c r="A2119" s="3"/>
      <c r="B2119" s="4"/>
      <c r="C2119" s="4"/>
      <c r="D2119" s="4"/>
      <c r="E2119" s="4"/>
      <c r="F2119" s="4"/>
      <c r="G2119" s="4"/>
      <c r="H2119" s="4"/>
      <c r="I2119" s="4"/>
      <c r="J2119" s="4"/>
      <c r="K2119" s="4"/>
      <c r="L2119" s="4"/>
      <c r="M2119" s="4"/>
      <c r="N2119" s="4"/>
      <c r="O2119" s="4"/>
      <c r="P2119" s="4"/>
      <c r="Q2119" s="4"/>
      <c r="R2119" s="4"/>
      <c r="S2119" s="4"/>
      <c r="T2119" s="4"/>
      <c r="U2119" s="4"/>
      <c r="V2119" s="4"/>
      <c r="W2119" s="4"/>
      <c r="X2119" s="4"/>
      <c r="Y2119" s="4"/>
      <c r="Z2119" s="4"/>
      <c r="AA2119" s="4"/>
      <c r="AB2119" s="5"/>
    </row>
    <row r="2120" spans="1:28" x14ac:dyDescent="0.35">
      <c r="A2120" s="3"/>
      <c r="B2120" s="4"/>
      <c r="C2120" s="4"/>
      <c r="D2120" s="4"/>
      <c r="E2120" s="4"/>
      <c r="F2120" s="4"/>
      <c r="G2120" s="4"/>
      <c r="H2120" s="4"/>
      <c r="I2120" s="4"/>
      <c r="J2120" s="4"/>
      <c r="K2120" s="4"/>
      <c r="L2120" s="4"/>
      <c r="M2120" s="4"/>
      <c r="N2120" s="4"/>
      <c r="O2120" s="4"/>
      <c r="P2120" s="4"/>
      <c r="Q2120" s="4"/>
      <c r="R2120" s="4"/>
      <c r="S2120" s="4"/>
      <c r="T2120" s="4"/>
      <c r="U2120" s="4"/>
      <c r="V2120" s="4"/>
      <c r="W2120" s="4"/>
      <c r="X2120" s="4"/>
      <c r="Y2120" s="4"/>
      <c r="Z2120" s="4"/>
      <c r="AA2120" s="4"/>
      <c r="AB2120" s="5"/>
    </row>
    <row r="2121" spans="1:28" x14ac:dyDescent="0.35">
      <c r="A2121" s="3"/>
      <c r="B2121" s="4"/>
      <c r="C2121" s="4"/>
      <c r="D2121" s="4"/>
      <c r="E2121" s="4"/>
      <c r="F2121" s="4"/>
      <c r="G2121" s="4"/>
      <c r="H2121" s="4"/>
      <c r="I2121" s="4"/>
      <c r="J2121" s="4"/>
      <c r="K2121" s="4"/>
      <c r="L2121" s="4"/>
      <c r="M2121" s="4"/>
      <c r="N2121" s="4"/>
      <c r="O2121" s="4"/>
      <c r="P2121" s="4"/>
      <c r="Q2121" s="4"/>
      <c r="R2121" s="4"/>
      <c r="S2121" s="4"/>
      <c r="T2121" s="4"/>
      <c r="U2121" s="4"/>
      <c r="V2121" s="4"/>
      <c r="W2121" s="4"/>
      <c r="X2121" s="4"/>
      <c r="Y2121" s="4"/>
      <c r="Z2121" s="4"/>
      <c r="AA2121" s="4"/>
      <c r="AB2121" s="5"/>
    </row>
    <row r="2122" spans="1:28" x14ac:dyDescent="0.35">
      <c r="A2122" s="3"/>
      <c r="B2122" s="4"/>
      <c r="C2122" s="4"/>
      <c r="D2122" s="4"/>
      <c r="E2122" s="4"/>
      <c r="F2122" s="4"/>
      <c r="G2122" s="4"/>
      <c r="H2122" s="4"/>
      <c r="I2122" s="4"/>
      <c r="J2122" s="4"/>
      <c r="K2122" s="4"/>
      <c r="L2122" s="4"/>
      <c r="M2122" s="4"/>
      <c r="N2122" s="4"/>
      <c r="O2122" s="4"/>
      <c r="P2122" s="4"/>
      <c r="Q2122" s="4"/>
      <c r="R2122" s="4"/>
      <c r="S2122" s="4"/>
      <c r="T2122" s="4"/>
      <c r="U2122" s="4"/>
      <c r="V2122" s="4"/>
      <c r="W2122" s="4"/>
      <c r="X2122" s="4"/>
      <c r="Y2122" s="4"/>
      <c r="Z2122" s="4"/>
      <c r="AA2122" s="4"/>
      <c r="AB2122" s="5"/>
    </row>
    <row r="2123" spans="1:28" x14ac:dyDescent="0.35">
      <c r="A2123" s="3"/>
      <c r="B2123" s="4"/>
      <c r="C2123" s="4"/>
      <c r="D2123" s="4"/>
      <c r="E2123" s="4"/>
      <c r="F2123" s="4"/>
      <c r="G2123" s="4"/>
      <c r="H2123" s="4"/>
      <c r="I2123" s="4"/>
      <c r="J2123" s="4"/>
      <c r="K2123" s="4"/>
      <c r="L2123" s="4"/>
      <c r="M2123" s="4"/>
      <c r="N2123" s="4"/>
      <c r="O2123" s="4"/>
      <c r="P2123" s="4"/>
      <c r="Q2123" s="4"/>
      <c r="R2123" s="4"/>
      <c r="S2123" s="4"/>
      <c r="T2123" s="4"/>
      <c r="U2123" s="4"/>
      <c r="V2123" s="4"/>
      <c r="W2123" s="4"/>
      <c r="X2123" s="4"/>
      <c r="Y2123" s="4"/>
      <c r="Z2123" s="4"/>
      <c r="AA2123" s="4"/>
      <c r="AB2123" s="5"/>
    </row>
    <row r="2124" spans="1:28" x14ac:dyDescent="0.35">
      <c r="A2124" s="3"/>
      <c r="B2124" s="4"/>
      <c r="C2124" s="4"/>
      <c r="D2124" s="4"/>
      <c r="E2124" s="4"/>
      <c r="F2124" s="4"/>
      <c r="G2124" s="4"/>
      <c r="H2124" s="4"/>
      <c r="I2124" s="4"/>
      <c r="J2124" s="4"/>
      <c r="K2124" s="4"/>
      <c r="L2124" s="4"/>
      <c r="M2124" s="4"/>
      <c r="N2124" s="4"/>
      <c r="O2124" s="4"/>
      <c r="P2124" s="4"/>
      <c r="Q2124" s="4"/>
      <c r="R2124" s="4"/>
      <c r="S2124" s="4"/>
      <c r="T2124" s="4"/>
      <c r="U2124" s="4"/>
      <c r="V2124" s="4"/>
      <c r="W2124" s="4"/>
      <c r="X2124" s="4"/>
      <c r="Y2124" s="4"/>
      <c r="Z2124" s="4"/>
      <c r="AA2124" s="4"/>
      <c r="AB2124" s="5"/>
    </row>
    <row r="2125" spans="1:28" x14ac:dyDescent="0.35">
      <c r="A2125" s="3"/>
      <c r="B2125" s="4"/>
      <c r="C2125" s="4"/>
      <c r="D2125" s="4"/>
      <c r="E2125" s="4"/>
      <c r="F2125" s="4"/>
      <c r="G2125" s="4"/>
      <c r="H2125" s="4"/>
      <c r="I2125" s="4"/>
      <c r="J2125" s="4"/>
      <c r="K2125" s="4"/>
      <c r="L2125" s="4"/>
      <c r="M2125" s="4"/>
      <c r="N2125" s="4"/>
      <c r="O2125" s="4"/>
      <c r="P2125" s="4"/>
      <c r="Q2125" s="4"/>
      <c r="R2125" s="4"/>
      <c r="S2125" s="4"/>
      <c r="T2125" s="4"/>
      <c r="U2125" s="4"/>
      <c r="V2125" s="4"/>
      <c r="W2125" s="4"/>
      <c r="X2125" s="4"/>
      <c r="Y2125" s="4"/>
      <c r="Z2125" s="4"/>
      <c r="AA2125" s="4"/>
      <c r="AB2125" s="5"/>
    </row>
    <row r="2126" spans="1:28" x14ac:dyDescent="0.35">
      <c r="A2126" s="3"/>
      <c r="B2126" s="4"/>
      <c r="C2126" s="4"/>
      <c r="D2126" s="4"/>
      <c r="E2126" s="4"/>
      <c r="F2126" s="4"/>
      <c r="G2126" s="4"/>
      <c r="H2126" s="4"/>
      <c r="I2126" s="4"/>
      <c r="J2126" s="4"/>
      <c r="K2126" s="4"/>
      <c r="L2126" s="4"/>
      <c r="M2126" s="4"/>
      <c r="N2126" s="4"/>
      <c r="O2126" s="4"/>
      <c r="P2126" s="4"/>
      <c r="Q2126" s="4"/>
      <c r="R2126" s="4"/>
      <c r="S2126" s="4"/>
      <c r="T2126" s="4"/>
      <c r="U2126" s="4"/>
      <c r="V2126" s="4"/>
      <c r="W2126" s="4"/>
      <c r="X2126" s="4"/>
      <c r="Y2126" s="4"/>
      <c r="Z2126" s="4"/>
      <c r="AA2126" s="4"/>
      <c r="AB2126" s="5"/>
    </row>
    <row r="2127" spans="1:28" x14ac:dyDescent="0.35">
      <c r="A2127" s="3"/>
      <c r="B2127" s="4"/>
      <c r="C2127" s="4"/>
      <c r="D2127" s="4"/>
      <c r="E2127" s="4"/>
      <c r="F2127" s="4"/>
      <c r="G2127" s="4"/>
      <c r="H2127" s="4"/>
      <c r="I2127" s="4"/>
      <c r="J2127" s="4"/>
      <c r="K2127" s="4"/>
      <c r="L2127" s="4"/>
      <c r="M2127" s="4"/>
      <c r="N2127" s="4"/>
      <c r="O2127" s="4"/>
      <c r="P2127" s="4"/>
      <c r="Q2127" s="4"/>
      <c r="R2127" s="4"/>
      <c r="S2127" s="4"/>
      <c r="T2127" s="4"/>
      <c r="U2127" s="4"/>
      <c r="V2127" s="4"/>
      <c r="W2127" s="4"/>
      <c r="X2127" s="4"/>
      <c r="Y2127" s="4"/>
      <c r="Z2127" s="4"/>
      <c r="AA2127" s="4"/>
      <c r="AB2127" s="5"/>
    </row>
    <row r="2128" spans="1:28" x14ac:dyDescent="0.35">
      <c r="A2128" s="3"/>
      <c r="B2128" s="4"/>
      <c r="C2128" s="4"/>
      <c r="D2128" s="4"/>
      <c r="E2128" s="4"/>
      <c r="F2128" s="4"/>
      <c r="G2128" s="4"/>
      <c r="H2128" s="4"/>
      <c r="I2128" s="4"/>
      <c r="J2128" s="4"/>
      <c r="K2128" s="4"/>
      <c r="L2128" s="4"/>
      <c r="M2128" s="4"/>
      <c r="N2128" s="4"/>
      <c r="O2128" s="4"/>
      <c r="P2128" s="4"/>
      <c r="Q2128" s="4"/>
      <c r="R2128" s="4"/>
      <c r="S2128" s="4"/>
      <c r="T2128" s="4"/>
      <c r="U2128" s="4"/>
      <c r="V2128" s="4"/>
      <c r="W2128" s="4"/>
      <c r="X2128" s="4"/>
      <c r="Y2128" s="4"/>
      <c r="Z2128" s="4"/>
      <c r="AA2128" s="4"/>
      <c r="AB2128" s="5"/>
    </row>
    <row r="2129" spans="1:28" x14ac:dyDescent="0.35">
      <c r="A2129" s="3"/>
      <c r="B2129" s="4"/>
      <c r="C2129" s="4"/>
      <c r="D2129" s="4"/>
      <c r="E2129" s="4"/>
      <c r="F2129" s="4"/>
      <c r="G2129" s="4"/>
      <c r="H2129" s="4"/>
      <c r="I2129" s="4"/>
      <c r="J2129" s="4"/>
      <c r="K2129" s="4"/>
      <c r="L2129" s="4"/>
      <c r="M2129" s="4"/>
      <c r="N2129" s="4"/>
      <c r="O2129" s="4"/>
      <c r="P2129" s="4"/>
      <c r="Q2129" s="4"/>
      <c r="R2129" s="4"/>
      <c r="S2129" s="4"/>
      <c r="T2129" s="4"/>
      <c r="U2129" s="4"/>
      <c r="V2129" s="4"/>
      <c r="W2129" s="4"/>
      <c r="X2129" s="4"/>
      <c r="Y2129" s="4"/>
      <c r="Z2129" s="4"/>
      <c r="AA2129" s="4"/>
      <c r="AB2129" s="5"/>
    </row>
    <row r="2130" spans="1:28" x14ac:dyDescent="0.35">
      <c r="A2130" s="3"/>
      <c r="B2130" s="4"/>
      <c r="C2130" s="4"/>
      <c r="D2130" s="4"/>
      <c r="E2130" s="4"/>
      <c r="F2130" s="4"/>
      <c r="G2130" s="4"/>
      <c r="H2130" s="4"/>
      <c r="I2130" s="4"/>
      <c r="J2130" s="4"/>
      <c r="K2130" s="4"/>
      <c r="L2130" s="4"/>
      <c r="M2130" s="4"/>
      <c r="N2130" s="4"/>
      <c r="O2130" s="4"/>
      <c r="P2130" s="4"/>
      <c r="Q2130" s="4"/>
      <c r="R2130" s="4"/>
      <c r="S2130" s="4"/>
      <c r="T2130" s="4"/>
      <c r="U2130" s="4"/>
      <c r="V2130" s="4"/>
      <c r="W2130" s="4"/>
      <c r="X2130" s="4"/>
      <c r="Y2130" s="4"/>
      <c r="Z2130" s="4"/>
      <c r="AA2130" s="4"/>
      <c r="AB2130" s="5"/>
    </row>
    <row r="2131" spans="1:28" x14ac:dyDescent="0.35">
      <c r="A2131" s="3"/>
      <c r="B2131" s="4"/>
      <c r="C2131" s="4"/>
      <c r="D2131" s="4"/>
      <c r="E2131" s="4"/>
      <c r="F2131" s="4"/>
      <c r="G2131" s="4"/>
      <c r="H2131" s="4"/>
      <c r="I2131" s="4"/>
      <c r="J2131" s="4"/>
      <c r="K2131" s="4"/>
      <c r="L2131" s="4"/>
      <c r="M2131" s="4"/>
      <c r="N2131" s="4"/>
      <c r="O2131" s="4"/>
      <c r="P2131" s="4"/>
      <c r="Q2131" s="4"/>
      <c r="R2131" s="4"/>
      <c r="S2131" s="4"/>
      <c r="T2131" s="4"/>
      <c r="U2131" s="4"/>
      <c r="V2131" s="4"/>
      <c r="W2131" s="4"/>
      <c r="X2131" s="4"/>
      <c r="Y2131" s="4"/>
      <c r="Z2131" s="4"/>
      <c r="AA2131" s="4"/>
      <c r="AB2131" s="5"/>
    </row>
    <row r="2132" spans="1:28" x14ac:dyDescent="0.35">
      <c r="A2132" s="3"/>
      <c r="B2132" s="4"/>
      <c r="C2132" s="4"/>
      <c r="D2132" s="4"/>
      <c r="E2132" s="4"/>
      <c r="F2132" s="4"/>
      <c r="G2132" s="4"/>
      <c r="H2132" s="4"/>
      <c r="I2132" s="4"/>
      <c r="J2132" s="4"/>
      <c r="K2132" s="4"/>
      <c r="L2132" s="4"/>
      <c r="M2132" s="4"/>
      <c r="N2132" s="4"/>
      <c r="O2132" s="4"/>
      <c r="P2132" s="4"/>
      <c r="Q2132" s="4"/>
      <c r="R2132" s="4"/>
      <c r="S2132" s="4"/>
      <c r="T2132" s="4"/>
      <c r="U2132" s="4"/>
      <c r="V2132" s="4"/>
      <c r="W2132" s="4"/>
      <c r="X2132" s="4"/>
      <c r="Y2132" s="4"/>
      <c r="Z2132" s="4"/>
      <c r="AA2132" s="4"/>
      <c r="AB2132" s="5"/>
    </row>
    <row r="2133" spans="1:28" x14ac:dyDescent="0.35">
      <c r="A2133" s="3"/>
      <c r="B2133" s="4"/>
      <c r="C2133" s="4"/>
      <c r="D2133" s="4"/>
      <c r="E2133" s="4"/>
      <c r="F2133" s="4"/>
      <c r="G2133" s="4"/>
      <c r="H2133" s="4"/>
      <c r="I2133" s="4"/>
      <c r="J2133" s="4"/>
      <c r="K2133" s="4"/>
      <c r="L2133" s="4"/>
      <c r="M2133" s="4"/>
      <c r="N2133" s="4"/>
      <c r="O2133" s="4"/>
      <c r="P2133" s="4"/>
      <c r="Q2133" s="4"/>
      <c r="R2133" s="4"/>
      <c r="S2133" s="4"/>
      <c r="T2133" s="4"/>
      <c r="U2133" s="4"/>
      <c r="V2133" s="4"/>
      <c r="W2133" s="4"/>
      <c r="X2133" s="4"/>
      <c r="Y2133" s="4"/>
      <c r="Z2133" s="4"/>
      <c r="AA2133" s="4"/>
      <c r="AB2133" s="5"/>
    </row>
    <row r="2134" spans="1:28" x14ac:dyDescent="0.35">
      <c r="A2134" s="3"/>
      <c r="B2134" s="4"/>
      <c r="C2134" s="4"/>
      <c r="D2134" s="4"/>
      <c r="E2134" s="4"/>
      <c r="F2134" s="4"/>
      <c r="G2134" s="4"/>
      <c r="H2134" s="4"/>
      <c r="I2134" s="4"/>
      <c r="J2134" s="4"/>
      <c r="K2134" s="4"/>
      <c r="L2134" s="4"/>
      <c r="M2134" s="4"/>
      <c r="N2134" s="4"/>
      <c r="O2134" s="4"/>
      <c r="P2134" s="4"/>
      <c r="Q2134" s="4"/>
      <c r="R2134" s="4"/>
      <c r="S2134" s="4"/>
      <c r="T2134" s="4"/>
      <c r="U2134" s="4"/>
      <c r="V2134" s="4"/>
      <c r="W2134" s="4"/>
      <c r="X2134" s="4"/>
      <c r="Y2134" s="4"/>
      <c r="Z2134" s="4"/>
      <c r="AA2134" s="4"/>
      <c r="AB2134" s="5"/>
    </row>
    <row r="2135" spans="1:28" x14ac:dyDescent="0.35">
      <c r="A2135" s="3"/>
      <c r="B2135" s="4"/>
      <c r="C2135" s="4"/>
      <c r="D2135" s="4"/>
      <c r="E2135" s="4"/>
      <c r="F2135" s="4"/>
      <c r="G2135" s="4"/>
      <c r="H2135" s="4"/>
      <c r="I2135" s="4"/>
      <c r="J2135" s="4"/>
      <c r="K2135" s="4"/>
      <c r="L2135" s="4"/>
      <c r="M2135" s="4"/>
      <c r="N2135" s="4"/>
      <c r="O2135" s="4"/>
      <c r="P2135" s="4"/>
      <c r="Q2135" s="4"/>
      <c r="R2135" s="4"/>
      <c r="S2135" s="4"/>
      <c r="T2135" s="4"/>
      <c r="U2135" s="4"/>
      <c r="V2135" s="4"/>
      <c r="W2135" s="4"/>
      <c r="X2135" s="4"/>
      <c r="Y2135" s="4"/>
      <c r="Z2135" s="4"/>
      <c r="AA2135" s="4"/>
      <c r="AB2135" s="5"/>
    </row>
    <row r="2136" spans="1:28" x14ac:dyDescent="0.35">
      <c r="A2136" s="3"/>
      <c r="B2136" s="4"/>
      <c r="C2136" s="4"/>
      <c r="D2136" s="4"/>
      <c r="E2136" s="4"/>
      <c r="F2136" s="4"/>
      <c r="G2136" s="4"/>
      <c r="H2136" s="4"/>
      <c r="I2136" s="4"/>
      <c r="J2136" s="4"/>
      <c r="K2136" s="4"/>
      <c r="L2136" s="4"/>
      <c r="M2136" s="4"/>
      <c r="N2136" s="4"/>
      <c r="O2136" s="4"/>
      <c r="P2136" s="4"/>
      <c r="Q2136" s="4"/>
      <c r="R2136" s="4"/>
      <c r="S2136" s="4"/>
      <c r="T2136" s="4"/>
      <c r="U2136" s="4"/>
      <c r="V2136" s="4"/>
      <c r="W2136" s="4"/>
      <c r="X2136" s="4"/>
      <c r="Y2136" s="4"/>
      <c r="Z2136" s="4"/>
      <c r="AA2136" s="4"/>
      <c r="AB2136" s="5"/>
    </row>
    <row r="2137" spans="1:28" x14ac:dyDescent="0.35">
      <c r="A2137" s="3"/>
      <c r="B2137" s="4"/>
      <c r="C2137" s="4"/>
      <c r="D2137" s="4"/>
      <c r="E2137" s="4"/>
      <c r="F2137" s="4"/>
      <c r="G2137" s="4"/>
      <c r="H2137" s="4"/>
      <c r="I2137" s="4"/>
      <c r="J2137" s="4"/>
      <c r="K2137" s="4"/>
      <c r="L2137" s="4"/>
      <c r="M2137" s="4"/>
      <c r="N2137" s="4"/>
      <c r="O2137" s="4"/>
      <c r="P2137" s="4"/>
      <c r="Q2137" s="4"/>
      <c r="R2137" s="4"/>
      <c r="S2137" s="4"/>
      <c r="T2137" s="4"/>
      <c r="U2137" s="4"/>
      <c r="V2137" s="4"/>
      <c r="W2137" s="4"/>
      <c r="X2137" s="4"/>
      <c r="Y2137" s="4"/>
      <c r="Z2137" s="4"/>
      <c r="AA2137" s="4"/>
      <c r="AB2137" s="5"/>
    </row>
    <row r="2138" spans="1:28" x14ac:dyDescent="0.35">
      <c r="A2138" s="3"/>
      <c r="B2138" s="4"/>
      <c r="C2138" s="4"/>
      <c r="D2138" s="4"/>
      <c r="E2138" s="4"/>
      <c r="F2138" s="4"/>
      <c r="G2138" s="4"/>
      <c r="H2138" s="4"/>
      <c r="I2138" s="4"/>
      <c r="J2138" s="4"/>
      <c r="K2138" s="4"/>
      <c r="L2138" s="4"/>
      <c r="M2138" s="4"/>
      <c r="N2138" s="4"/>
      <c r="O2138" s="4"/>
      <c r="P2138" s="4"/>
      <c r="Q2138" s="4"/>
      <c r="R2138" s="4"/>
      <c r="S2138" s="4"/>
      <c r="T2138" s="4"/>
      <c r="U2138" s="4"/>
      <c r="V2138" s="4"/>
      <c r="W2138" s="4"/>
      <c r="X2138" s="4"/>
      <c r="Y2138" s="4"/>
      <c r="Z2138" s="4"/>
      <c r="AA2138" s="4"/>
      <c r="AB2138" s="5"/>
    </row>
    <row r="2139" spans="1:28" x14ac:dyDescent="0.35">
      <c r="A2139" s="3"/>
      <c r="B2139" s="4"/>
      <c r="C2139" s="4"/>
      <c r="D2139" s="4"/>
      <c r="E2139" s="4"/>
      <c r="F2139" s="4"/>
      <c r="G2139" s="4"/>
      <c r="H2139" s="4"/>
      <c r="I2139" s="4"/>
      <c r="J2139" s="4"/>
      <c r="K2139" s="4"/>
      <c r="L2139" s="4"/>
      <c r="M2139" s="4"/>
      <c r="N2139" s="4"/>
      <c r="O2139" s="4"/>
      <c r="P2139" s="4"/>
      <c r="Q2139" s="4"/>
      <c r="R2139" s="4"/>
      <c r="S2139" s="4"/>
      <c r="T2139" s="4"/>
      <c r="U2139" s="4"/>
      <c r="V2139" s="4"/>
      <c r="W2139" s="4"/>
      <c r="X2139" s="4"/>
      <c r="Y2139" s="4"/>
      <c r="Z2139" s="4"/>
      <c r="AA2139" s="4"/>
      <c r="AB2139" s="5"/>
    </row>
    <row r="2140" spans="1:28" x14ac:dyDescent="0.35">
      <c r="A2140" s="3"/>
      <c r="B2140" s="4"/>
      <c r="C2140" s="4"/>
      <c r="D2140" s="4"/>
      <c r="E2140" s="4"/>
      <c r="F2140" s="4"/>
      <c r="G2140" s="4"/>
      <c r="H2140" s="4"/>
      <c r="I2140" s="4"/>
      <c r="J2140" s="4"/>
      <c r="K2140" s="4"/>
      <c r="L2140" s="4"/>
      <c r="M2140" s="4"/>
      <c r="N2140" s="4"/>
      <c r="O2140" s="4"/>
      <c r="P2140" s="4"/>
      <c r="Q2140" s="4"/>
      <c r="R2140" s="4"/>
      <c r="S2140" s="4"/>
      <c r="T2140" s="4"/>
      <c r="U2140" s="4"/>
      <c r="V2140" s="4"/>
      <c r="W2140" s="4"/>
      <c r="X2140" s="4"/>
      <c r="Y2140" s="4"/>
      <c r="Z2140" s="4"/>
      <c r="AA2140" s="4"/>
      <c r="AB2140" s="5"/>
    </row>
    <row r="2141" spans="1:28" x14ac:dyDescent="0.35">
      <c r="A2141" s="3"/>
      <c r="B2141" s="4"/>
      <c r="C2141" s="4"/>
      <c r="D2141" s="4"/>
      <c r="E2141" s="4"/>
      <c r="F2141" s="4"/>
      <c r="G2141" s="4"/>
      <c r="H2141" s="4"/>
      <c r="I2141" s="4"/>
      <c r="J2141" s="4"/>
      <c r="K2141" s="4"/>
      <c r="L2141" s="4"/>
      <c r="M2141" s="4"/>
      <c r="N2141" s="4"/>
      <c r="O2141" s="4"/>
      <c r="P2141" s="4"/>
      <c r="Q2141" s="4"/>
      <c r="R2141" s="4"/>
      <c r="S2141" s="4"/>
      <c r="T2141" s="4"/>
      <c r="U2141" s="4"/>
      <c r="V2141" s="4"/>
      <c r="W2141" s="4"/>
      <c r="X2141" s="4"/>
      <c r="Y2141" s="4"/>
      <c r="Z2141" s="4"/>
      <c r="AA2141" s="4"/>
      <c r="AB2141" s="5"/>
    </row>
    <row r="2142" spans="1:28" x14ac:dyDescent="0.35">
      <c r="A2142" s="3"/>
      <c r="B2142" s="4"/>
      <c r="C2142" s="4"/>
      <c r="D2142" s="4"/>
      <c r="E2142" s="4"/>
      <c r="F2142" s="4"/>
      <c r="G2142" s="4"/>
      <c r="H2142" s="4"/>
      <c r="I2142" s="4"/>
      <c r="J2142" s="4"/>
      <c r="K2142" s="4"/>
      <c r="L2142" s="4"/>
      <c r="M2142" s="4"/>
      <c r="N2142" s="4"/>
      <c r="O2142" s="4"/>
      <c r="P2142" s="4"/>
      <c r="Q2142" s="4"/>
      <c r="R2142" s="4"/>
      <c r="S2142" s="4"/>
      <c r="T2142" s="4"/>
      <c r="U2142" s="4"/>
      <c r="V2142" s="4"/>
      <c r="W2142" s="4"/>
      <c r="X2142" s="4"/>
      <c r="Y2142" s="4"/>
      <c r="Z2142" s="4"/>
      <c r="AA2142" s="4"/>
      <c r="AB2142" s="5"/>
    </row>
    <row r="2143" spans="1:28" x14ac:dyDescent="0.35">
      <c r="A2143" s="3"/>
      <c r="B2143" s="4"/>
      <c r="C2143" s="4"/>
      <c r="D2143" s="4"/>
      <c r="E2143" s="4"/>
      <c r="F2143" s="4"/>
      <c r="G2143" s="4"/>
      <c r="H2143" s="4"/>
      <c r="I2143" s="4"/>
      <c r="J2143" s="4"/>
      <c r="K2143" s="4"/>
      <c r="L2143" s="4"/>
      <c r="M2143" s="4"/>
      <c r="N2143" s="4"/>
      <c r="O2143" s="4"/>
      <c r="P2143" s="4"/>
      <c r="Q2143" s="4"/>
      <c r="R2143" s="4"/>
      <c r="S2143" s="4"/>
      <c r="T2143" s="4"/>
      <c r="U2143" s="4"/>
      <c r="V2143" s="4"/>
      <c r="W2143" s="4"/>
      <c r="X2143" s="4"/>
      <c r="Y2143" s="4"/>
      <c r="Z2143" s="4"/>
      <c r="AA2143" s="4"/>
      <c r="AB2143" s="5"/>
    </row>
    <row r="2144" spans="1:28" x14ac:dyDescent="0.35">
      <c r="A2144" s="3"/>
      <c r="B2144" s="4"/>
      <c r="C2144" s="4"/>
      <c r="D2144" s="4"/>
      <c r="E2144" s="4"/>
      <c r="F2144" s="4"/>
      <c r="G2144" s="4"/>
      <c r="H2144" s="4"/>
      <c r="I2144" s="4"/>
      <c r="J2144" s="4"/>
      <c r="K2144" s="4"/>
      <c r="L2144" s="4"/>
      <c r="M2144" s="4"/>
      <c r="N2144" s="4"/>
      <c r="O2144" s="4"/>
      <c r="P2144" s="4"/>
      <c r="Q2144" s="4"/>
      <c r="R2144" s="4"/>
      <c r="S2144" s="4"/>
      <c r="T2144" s="4"/>
      <c r="U2144" s="4"/>
      <c r="V2144" s="4"/>
      <c r="W2144" s="4"/>
      <c r="X2144" s="4"/>
      <c r="Y2144" s="4"/>
      <c r="Z2144" s="4"/>
      <c r="AA2144" s="4"/>
      <c r="AB2144" s="5"/>
    </row>
    <row r="2145" spans="1:28" x14ac:dyDescent="0.35">
      <c r="A2145" s="3"/>
      <c r="B2145" s="4"/>
      <c r="C2145" s="4"/>
      <c r="D2145" s="4"/>
      <c r="E2145" s="4"/>
      <c r="F2145" s="4"/>
      <c r="G2145" s="4"/>
      <c r="H2145" s="4"/>
      <c r="I2145" s="4"/>
      <c r="J2145" s="4"/>
      <c r="K2145" s="4"/>
      <c r="L2145" s="4"/>
      <c r="M2145" s="4"/>
      <c r="N2145" s="4"/>
      <c r="O2145" s="4"/>
      <c r="P2145" s="4"/>
      <c r="Q2145" s="4"/>
      <c r="R2145" s="4"/>
      <c r="S2145" s="4"/>
      <c r="T2145" s="4"/>
      <c r="U2145" s="4"/>
      <c r="V2145" s="4"/>
      <c r="W2145" s="4"/>
      <c r="X2145" s="4"/>
      <c r="Y2145" s="4"/>
      <c r="Z2145" s="4"/>
      <c r="AA2145" s="4"/>
      <c r="AB2145" s="5"/>
    </row>
    <row r="2146" spans="1:28" x14ac:dyDescent="0.35">
      <c r="A2146" s="3"/>
      <c r="B2146" s="4"/>
      <c r="C2146" s="4"/>
      <c r="D2146" s="4"/>
      <c r="E2146" s="4"/>
      <c r="F2146" s="4"/>
      <c r="G2146" s="4"/>
      <c r="H2146" s="4"/>
      <c r="I2146" s="4"/>
      <c r="J2146" s="4"/>
      <c r="K2146" s="4"/>
      <c r="L2146" s="4"/>
      <c r="M2146" s="4"/>
      <c r="N2146" s="4"/>
      <c r="O2146" s="4"/>
      <c r="P2146" s="4"/>
      <c r="Q2146" s="4"/>
      <c r="R2146" s="4"/>
      <c r="S2146" s="4"/>
      <c r="T2146" s="4"/>
      <c r="U2146" s="4"/>
      <c r="V2146" s="4"/>
      <c r="W2146" s="4"/>
      <c r="X2146" s="4"/>
      <c r="Y2146" s="4"/>
      <c r="Z2146" s="4"/>
      <c r="AA2146" s="4"/>
      <c r="AB2146" s="5"/>
    </row>
    <row r="2147" spans="1:28" x14ac:dyDescent="0.35">
      <c r="A2147" s="3"/>
      <c r="B2147" s="4"/>
      <c r="C2147" s="4"/>
      <c r="D2147" s="4"/>
      <c r="E2147" s="4"/>
      <c r="F2147" s="4"/>
      <c r="G2147" s="4"/>
      <c r="H2147" s="4"/>
      <c r="I2147" s="4"/>
      <c r="J2147" s="4"/>
      <c r="K2147" s="4"/>
      <c r="L2147" s="4"/>
      <c r="M2147" s="4"/>
      <c r="N2147" s="4"/>
      <c r="O2147" s="4"/>
      <c r="P2147" s="4"/>
      <c r="Q2147" s="4"/>
      <c r="R2147" s="4"/>
      <c r="S2147" s="4"/>
      <c r="T2147" s="4"/>
      <c r="U2147" s="4"/>
      <c r="V2147" s="4"/>
      <c r="W2147" s="4"/>
      <c r="X2147" s="4"/>
      <c r="Y2147" s="4"/>
      <c r="Z2147" s="4"/>
      <c r="AA2147" s="4"/>
      <c r="AB2147" s="5"/>
    </row>
    <row r="2148" spans="1:28" x14ac:dyDescent="0.35">
      <c r="A2148" s="3"/>
      <c r="B2148" s="4"/>
      <c r="C2148" s="4"/>
      <c r="D2148" s="4"/>
      <c r="E2148" s="4"/>
      <c r="F2148" s="4"/>
      <c r="G2148" s="4"/>
      <c r="H2148" s="4"/>
      <c r="I2148" s="4"/>
      <c r="J2148" s="4"/>
      <c r="K2148" s="4"/>
      <c r="L2148" s="4"/>
      <c r="M2148" s="4"/>
      <c r="N2148" s="4"/>
      <c r="O2148" s="4"/>
      <c r="P2148" s="4"/>
      <c r="Q2148" s="4"/>
      <c r="R2148" s="4"/>
      <c r="S2148" s="4"/>
      <c r="T2148" s="4"/>
      <c r="U2148" s="4"/>
      <c r="V2148" s="4"/>
      <c r="W2148" s="4"/>
      <c r="X2148" s="4"/>
      <c r="Y2148" s="4"/>
      <c r="Z2148" s="4"/>
      <c r="AA2148" s="4"/>
      <c r="AB2148" s="5"/>
    </row>
    <row r="2149" spans="1:28" x14ac:dyDescent="0.35">
      <c r="A2149" s="3"/>
      <c r="B2149" s="4"/>
      <c r="C2149" s="4"/>
      <c r="D2149" s="4"/>
      <c r="E2149" s="4"/>
      <c r="F2149" s="4"/>
      <c r="G2149" s="4"/>
      <c r="H2149" s="4"/>
      <c r="I2149" s="4"/>
      <c r="J2149" s="4"/>
      <c r="K2149" s="4"/>
      <c r="L2149" s="4"/>
      <c r="M2149" s="4"/>
      <c r="N2149" s="4"/>
      <c r="O2149" s="4"/>
      <c r="P2149" s="4"/>
      <c r="Q2149" s="4"/>
      <c r="R2149" s="4"/>
      <c r="S2149" s="4"/>
      <c r="T2149" s="4"/>
      <c r="U2149" s="4"/>
      <c r="V2149" s="4"/>
      <c r="W2149" s="4"/>
      <c r="X2149" s="4"/>
      <c r="Y2149" s="4"/>
      <c r="Z2149" s="4"/>
      <c r="AA2149" s="4"/>
      <c r="AB2149" s="5"/>
    </row>
    <row r="2150" spans="1:28" x14ac:dyDescent="0.35">
      <c r="A2150" s="3"/>
      <c r="B2150" s="4"/>
      <c r="C2150" s="4"/>
      <c r="D2150" s="4"/>
      <c r="E2150" s="4"/>
      <c r="F2150" s="4"/>
      <c r="G2150" s="4"/>
      <c r="H2150" s="4"/>
      <c r="I2150" s="4"/>
      <c r="J2150" s="4"/>
      <c r="K2150" s="4"/>
      <c r="L2150" s="4"/>
      <c r="M2150" s="4"/>
      <c r="N2150" s="4"/>
      <c r="O2150" s="4"/>
      <c r="P2150" s="4"/>
      <c r="Q2150" s="4"/>
      <c r="R2150" s="4"/>
      <c r="S2150" s="4"/>
      <c r="T2150" s="4"/>
      <c r="U2150" s="4"/>
      <c r="V2150" s="4"/>
      <c r="W2150" s="4"/>
      <c r="X2150" s="4"/>
      <c r="Y2150" s="4"/>
      <c r="Z2150" s="4"/>
      <c r="AA2150" s="4"/>
      <c r="AB2150" s="5"/>
    </row>
    <row r="2151" spans="1:28" x14ac:dyDescent="0.35">
      <c r="A2151" s="3"/>
      <c r="B2151" s="4"/>
      <c r="C2151" s="4"/>
      <c r="D2151" s="4"/>
      <c r="E2151" s="4"/>
      <c r="F2151" s="4"/>
      <c r="G2151" s="4"/>
      <c r="H2151" s="4"/>
      <c r="I2151" s="4"/>
      <c r="J2151" s="4"/>
      <c r="K2151" s="4"/>
      <c r="L2151" s="4"/>
      <c r="M2151" s="4"/>
      <c r="N2151" s="4"/>
      <c r="O2151" s="4"/>
      <c r="P2151" s="4"/>
      <c r="Q2151" s="4"/>
      <c r="R2151" s="4"/>
      <c r="S2151" s="4"/>
      <c r="T2151" s="4"/>
      <c r="U2151" s="4"/>
      <c r="V2151" s="4"/>
      <c r="W2151" s="4"/>
      <c r="X2151" s="4"/>
      <c r="Y2151" s="4"/>
      <c r="Z2151" s="4"/>
      <c r="AA2151" s="4"/>
      <c r="AB2151" s="5"/>
    </row>
    <row r="2152" spans="1:28" x14ac:dyDescent="0.35">
      <c r="A2152" s="3"/>
      <c r="B2152" s="4"/>
      <c r="C2152" s="4"/>
      <c r="D2152" s="4"/>
      <c r="E2152" s="4"/>
      <c r="F2152" s="4"/>
      <c r="G2152" s="4"/>
      <c r="H2152" s="4"/>
      <c r="I2152" s="4"/>
      <c r="J2152" s="4"/>
      <c r="K2152" s="4"/>
      <c r="L2152" s="4"/>
      <c r="M2152" s="4"/>
      <c r="N2152" s="4"/>
      <c r="O2152" s="4"/>
      <c r="P2152" s="4"/>
      <c r="Q2152" s="4"/>
      <c r="R2152" s="4"/>
      <c r="S2152" s="4"/>
      <c r="T2152" s="4"/>
      <c r="U2152" s="4"/>
      <c r="V2152" s="4"/>
      <c r="W2152" s="4"/>
      <c r="X2152" s="4"/>
      <c r="Y2152" s="4"/>
      <c r="Z2152" s="4"/>
      <c r="AA2152" s="4"/>
      <c r="AB2152" s="5"/>
    </row>
    <row r="2153" spans="1:28" x14ac:dyDescent="0.35">
      <c r="A2153" s="3"/>
      <c r="B2153" s="4"/>
      <c r="C2153" s="4"/>
      <c r="D2153" s="4"/>
      <c r="E2153" s="4"/>
      <c r="F2153" s="4"/>
      <c r="G2153" s="4"/>
      <c r="H2153" s="4"/>
      <c r="I2153" s="4"/>
      <c r="J2153" s="4"/>
      <c r="K2153" s="4"/>
      <c r="L2153" s="4"/>
      <c r="M2153" s="4"/>
      <c r="N2153" s="4"/>
      <c r="O2153" s="4"/>
      <c r="P2153" s="4"/>
      <c r="Q2153" s="4"/>
      <c r="R2153" s="4"/>
      <c r="S2153" s="4"/>
      <c r="T2153" s="4"/>
      <c r="U2153" s="4"/>
      <c r="V2153" s="4"/>
      <c r="W2153" s="4"/>
      <c r="X2153" s="4"/>
      <c r="Y2153" s="4"/>
      <c r="Z2153" s="4"/>
      <c r="AA2153" s="4"/>
      <c r="AB2153" s="5"/>
    </row>
    <row r="2154" spans="1:28" x14ac:dyDescent="0.35">
      <c r="A2154" s="3"/>
      <c r="B2154" s="4"/>
      <c r="C2154" s="4"/>
      <c r="D2154" s="4"/>
      <c r="E2154" s="4"/>
      <c r="F2154" s="4"/>
      <c r="G2154" s="4"/>
      <c r="H2154" s="4"/>
      <c r="I2154" s="4"/>
      <c r="J2154" s="4"/>
      <c r="K2154" s="4"/>
      <c r="L2154" s="4"/>
      <c r="M2154" s="4"/>
      <c r="N2154" s="4"/>
      <c r="O2154" s="4"/>
      <c r="P2154" s="4"/>
      <c r="Q2154" s="4"/>
      <c r="R2154" s="4"/>
      <c r="S2154" s="4"/>
      <c r="T2154" s="4"/>
      <c r="U2154" s="4"/>
      <c r="V2154" s="4"/>
      <c r="W2154" s="4"/>
      <c r="X2154" s="4"/>
      <c r="Y2154" s="4"/>
      <c r="Z2154" s="4"/>
      <c r="AA2154" s="4"/>
      <c r="AB2154" s="5"/>
    </row>
    <row r="2155" spans="1:28" x14ac:dyDescent="0.35">
      <c r="A2155" s="3"/>
      <c r="B2155" s="4"/>
      <c r="C2155" s="4"/>
      <c r="D2155" s="4"/>
      <c r="E2155" s="4"/>
      <c r="F2155" s="4"/>
      <c r="G2155" s="4"/>
      <c r="H2155" s="4"/>
      <c r="I2155" s="4"/>
      <c r="J2155" s="4"/>
      <c r="K2155" s="4"/>
      <c r="L2155" s="4"/>
      <c r="M2155" s="4"/>
      <c r="N2155" s="4"/>
      <c r="O2155" s="4"/>
      <c r="P2155" s="4"/>
      <c r="Q2155" s="4"/>
      <c r="R2155" s="4"/>
      <c r="S2155" s="4"/>
      <c r="T2155" s="4"/>
      <c r="U2155" s="4"/>
      <c r="V2155" s="4"/>
      <c r="W2155" s="4"/>
      <c r="X2155" s="4"/>
      <c r="Y2155" s="4"/>
      <c r="Z2155" s="4"/>
      <c r="AA2155" s="4"/>
      <c r="AB2155" s="5"/>
    </row>
    <row r="2156" spans="1:28" x14ac:dyDescent="0.35">
      <c r="A2156" s="3"/>
      <c r="B2156" s="4"/>
      <c r="C2156" s="4"/>
      <c r="D2156" s="4"/>
      <c r="E2156" s="4"/>
      <c r="F2156" s="4"/>
      <c r="G2156" s="4"/>
      <c r="H2156" s="4"/>
      <c r="I2156" s="4"/>
      <c r="J2156" s="4"/>
      <c r="K2156" s="4"/>
      <c r="L2156" s="4"/>
      <c r="M2156" s="4"/>
      <c r="N2156" s="4"/>
      <c r="O2156" s="4"/>
      <c r="P2156" s="4"/>
      <c r="Q2156" s="4"/>
      <c r="R2156" s="4"/>
      <c r="S2156" s="4"/>
      <c r="T2156" s="4"/>
      <c r="U2156" s="4"/>
      <c r="V2156" s="4"/>
      <c r="W2156" s="4"/>
      <c r="X2156" s="4"/>
      <c r="Y2156" s="4"/>
      <c r="Z2156" s="4"/>
      <c r="AA2156" s="4"/>
      <c r="AB2156" s="5"/>
    </row>
    <row r="2157" spans="1:28" x14ac:dyDescent="0.35">
      <c r="A2157" s="3"/>
      <c r="B2157" s="4"/>
      <c r="C2157" s="4"/>
      <c r="D2157" s="4"/>
      <c r="E2157" s="4"/>
      <c r="F2157" s="4"/>
      <c r="G2157" s="4"/>
      <c r="H2157" s="4"/>
      <c r="I2157" s="4"/>
      <c r="J2157" s="4"/>
      <c r="K2157" s="4"/>
      <c r="L2157" s="4"/>
      <c r="M2157" s="4"/>
      <c r="N2157" s="4"/>
      <c r="O2157" s="4"/>
      <c r="P2157" s="4"/>
      <c r="Q2157" s="4"/>
      <c r="R2157" s="4"/>
      <c r="S2157" s="4"/>
      <c r="T2157" s="4"/>
      <c r="U2157" s="4"/>
      <c r="V2157" s="4"/>
      <c r="W2157" s="4"/>
      <c r="X2157" s="4"/>
      <c r="Y2157" s="4"/>
      <c r="Z2157" s="4"/>
      <c r="AA2157" s="4"/>
      <c r="AB2157" s="5"/>
    </row>
    <row r="2158" spans="1:28" x14ac:dyDescent="0.35">
      <c r="A2158" s="3"/>
      <c r="B2158" s="4"/>
      <c r="C2158" s="4"/>
      <c r="D2158" s="4"/>
      <c r="E2158" s="4"/>
      <c r="F2158" s="4"/>
      <c r="G2158" s="4"/>
      <c r="H2158" s="4"/>
      <c r="I2158" s="4"/>
      <c r="J2158" s="4"/>
      <c r="K2158" s="4"/>
      <c r="L2158" s="4"/>
      <c r="M2158" s="4"/>
      <c r="N2158" s="4"/>
      <c r="O2158" s="4"/>
      <c r="P2158" s="4"/>
      <c r="Q2158" s="4"/>
      <c r="R2158" s="4"/>
      <c r="S2158" s="4"/>
      <c r="T2158" s="4"/>
      <c r="U2158" s="4"/>
      <c r="V2158" s="4"/>
      <c r="W2158" s="4"/>
      <c r="X2158" s="4"/>
      <c r="Y2158" s="4"/>
      <c r="Z2158" s="4"/>
      <c r="AA2158" s="4"/>
      <c r="AB2158" s="5"/>
    </row>
    <row r="2159" spans="1:28" x14ac:dyDescent="0.35">
      <c r="A2159" s="3"/>
      <c r="B2159" s="4"/>
      <c r="C2159" s="4"/>
      <c r="D2159" s="4"/>
      <c r="E2159" s="4"/>
      <c r="F2159" s="4"/>
      <c r="G2159" s="4"/>
      <c r="H2159" s="4"/>
      <c r="I2159" s="4"/>
      <c r="J2159" s="4"/>
      <c r="K2159" s="4"/>
      <c r="L2159" s="4"/>
      <c r="M2159" s="4"/>
      <c r="N2159" s="4"/>
      <c r="O2159" s="4"/>
      <c r="P2159" s="4"/>
      <c r="Q2159" s="4"/>
      <c r="R2159" s="4"/>
      <c r="S2159" s="4"/>
      <c r="T2159" s="4"/>
      <c r="U2159" s="4"/>
      <c r="V2159" s="4"/>
      <c r="W2159" s="4"/>
      <c r="X2159" s="4"/>
      <c r="Y2159" s="4"/>
      <c r="Z2159" s="4"/>
      <c r="AA2159" s="4"/>
      <c r="AB2159" s="5"/>
    </row>
    <row r="2160" spans="1:28" x14ac:dyDescent="0.35">
      <c r="A2160" s="3"/>
      <c r="B2160" s="4"/>
      <c r="C2160" s="4"/>
      <c r="D2160" s="4"/>
      <c r="E2160" s="4"/>
      <c r="F2160" s="4"/>
      <c r="G2160" s="4"/>
      <c r="H2160" s="4"/>
      <c r="I2160" s="4"/>
      <c r="J2160" s="4"/>
      <c r="K2160" s="4"/>
      <c r="L2160" s="4"/>
      <c r="M2160" s="4"/>
      <c r="N2160" s="4"/>
      <c r="O2160" s="4"/>
      <c r="P2160" s="4"/>
      <c r="Q2160" s="4"/>
      <c r="R2160" s="4"/>
      <c r="S2160" s="4"/>
      <c r="T2160" s="4"/>
      <c r="U2160" s="4"/>
      <c r="V2160" s="4"/>
      <c r="W2160" s="4"/>
      <c r="X2160" s="4"/>
      <c r="Y2160" s="4"/>
      <c r="Z2160" s="4"/>
      <c r="AA2160" s="4"/>
      <c r="AB2160" s="5"/>
    </row>
    <row r="2161" spans="1:28" x14ac:dyDescent="0.35">
      <c r="A2161" s="3"/>
      <c r="B2161" s="4"/>
      <c r="C2161" s="4"/>
      <c r="D2161" s="4"/>
      <c r="E2161" s="4"/>
      <c r="F2161" s="4"/>
      <c r="G2161" s="4"/>
      <c r="H2161" s="4"/>
      <c r="I2161" s="4"/>
      <c r="J2161" s="4"/>
      <c r="K2161" s="4"/>
      <c r="L2161" s="4"/>
      <c r="M2161" s="4"/>
      <c r="N2161" s="4"/>
      <c r="O2161" s="4"/>
      <c r="P2161" s="4"/>
      <c r="Q2161" s="4"/>
      <c r="R2161" s="4"/>
      <c r="S2161" s="4"/>
      <c r="T2161" s="4"/>
      <c r="U2161" s="4"/>
      <c r="V2161" s="4"/>
      <c r="W2161" s="4"/>
      <c r="X2161" s="4"/>
      <c r="Y2161" s="4"/>
      <c r="Z2161" s="4"/>
      <c r="AA2161" s="4"/>
      <c r="AB2161" s="5"/>
    </row>
    <row r="2162" spans="1:28" x14ac:dyDescent="0.35">
      <c r="A2162" s="3"/>
      <c r="B2162" s="4"/>
      <c r="C2162" s="4"/>
      <c r="D2162" s="4"/>
      <c r="E2162" s="4"/>
      <c r="F2162" s="4"/>
      <c r="G2162" s="4"/>
      <c r="H2162" s="4"/>
      <c r="I2162" s="4"/>
      <c r="J2162" s="4"/>
      <c r="K2162" s="4"/>
      <c r="L2162" s="4"/>
      <c r="M2162" s="4"/>
      <c r="N2162" s="4"/>
      <c r="O2162" s="4"/>
      <c r="P2162" s="4"/>
      <c r="Q2162" s="4"/>
      <c r="R2162" s="4"/>
      <c r="S2162" s="4"/>
      <c r="T2162" s="4"/>
      <c r="U2162" s="4"/>
      <c r="V2162" s="4"/>
      <c r="W2162" s="4"/>
      <c r="X2162" s="4"/>
      <c r="Y2162" s="4"/>
      <c r="Z2162" s="4"/>
      <c r="AA2162" s="4"/>
      <c r="AB2162" s="5"/>
    </row>
    <row r="2163" spans="1:28" x14ac:dyDescent="0.35">
      <c r="A2163" s="3"/>
      <c r="B2163" s="4"/>
      <c r="C2163" s="4"/>
      <c r="D2163" s="4"/>
      <c r="E2163" s="4"/>
      <c r="F2163" s="4"/>
      <c r="G2163" s="4"/>
      <c r="H2163" s="4"/>
      <c r="I2163" s="4"/>
      <c r="J2163" s="4"/>
      <c r="K2163" s="4"/>
      <c r="L2163" s="4"/>
      <c r="M2163" s="4"/>
      <c r="N2163" s="4"/>
      <c r="O2163" s="4"/>
      <c r="P2163" s="4"/>
      <c r="Q2163" s="4"/>
      <c r="R2163" s="4"/>
      <c r="S2163" s="4"/>
      <c r="T2163" s="4"/>
      <c r="U2163" s="4"/>
      <c r="V2163" s="4"/>
      <c r="W2163" s="4"/>
      <c r="X2163" s="4"/>
      <c r="Y2163" s="4"/>
      <c r="Z2163" s="4"/>
      <c r="AA2163" s="4"/>
      <c r="AB2163" s="5"/>
    </row>
    <row r="2164" spans="1:28" x14ac:dyDescent="0.35">
      <c r="A2164" s="3"/>
      <c r="B2164" s="4"/>
      <c r="C2164" s="4"/>
      <c r="D2164" s="4"/>
      <c r="E2164" s="4"/>
      <c r="F2164" s="4"/>
      <c r="G2164" s="4"/>
      <c r="H2164" s="4"/>
      <c r="I2164" s="4"/>
      <c r="J2164" s="4"/>
      <c r="K2164" s="4"/>
      <c r="L2164" s="4"/>
      <c r="M2164" s="4"/>
      <c r="N2164" s="4"/>
      <c r="O2164" s="4"/>
      <c r="P2164" s="4"/>
      <c r="Q2164" s="4"/>
      <c r="R2164" s="4"/>
      <c r="S2164" s="4"/>
      <c r="T2164" s="4"/>
      <c r="U2164" s="4"/>
      <c r="V2164" s="4"/>
      <c r="W2164" s="4"/>
      <c r="X2164" s="4"/>
      <c r="Y2164" s="4"/>
      <c r="Z2164" s="4"/>
      <c r="AA2164" s="4"/>
      <c r="AB2164" s="5"/>
    </row>
    <row r="2165" spans="1:28" x14ac:dyDescent="0.35">
      <c r="A2165" s="3"/>
      <c r="B2165" s="4"/>
      <c r="C2165" s="4"/>
      <c r="D2165" s="4"/>
      <c r="E2165" s="4"/>
      <c r="F2165" s="4"/>
      <c r="G2165" s="4"/>
      <c r="H2165" s="4"/>
      <c r="I2165" s="4"/>
      <c r="J2165" s="4"/>
      <c r="K2165" s="4"/>
      <c r="L2165" s="4"/>
      <c r="M2165" s="4"/>
      <c r="N2165" s="4"/>
      <c r="O2165" s="4"/>
      <c r="P2165" s="4"/>
      <c r="Q2165" s="4"/>
      <c r="R2165" s="4"/>
      <c r="S2165" s="4"/>
      <c r="T2165" s="4"/>
      <c r="U2165" s="4"/>
      <c r="V2165" s="4"/>
      <c r="W2165" s="4"/>
      <c r="X2165" s="4"/>
      <c r="Y2165" s="4"/>
      <c r="Z2165" s="4"/>
      <c r="AA2165" s="4"/>
      <c r="AB2165" s="5"/>
    </row>
    <row r="2166" spans="1:28" x14ac:dyDescent="0.35">
      <c r="A2166" s="3"/>
      <c r="B2166" s="4"/>
      <c r="C2166" s="4"/>
      <c r="D2166" s="4"/>
      <c r="E2166" s="4"/>
      <c r="F2166" s="4"/>
      <c r="G2166" s="4"/>
      <c r="H2166" s="4"/>
      <c r="I2166" s="4"/>
      <c r="J2166" s="4"/>
      <c r="K2166" s="4"/>
      <c r="L2166" s="4"/>
      <c r="M2166" s="4"/>
      <c r="N2166" s="4"/>
      <c r="O2166" s="4"/>
      <c r="P2166" s="4"/>
      <c r="Q2166" s="4"/>
      <c r="R2166" s="4"/>
      <c r="S2166" s="4"/>
      <c r="T2166" s="4"/>
      <c r="U2166" s="4"/>
      <c r="V2166" s="4"/>
      <c r="W2166" s="4"/>
      <c r="X2166" s="4"/>
      <c r="Y2166" s="4"/>
      <c r="Z2166" s="4"/>
      <c r="AA2166" s="4"/>
      <c r="AB2166" s="5"/>
    </row>
    <row r="2167" spans="1:28" x14ac:dyDescent="0.35">
      <c r="A2167" s="3"/>
      <c r="B2167" s="4"/>
      <c r="C2167" s="4"/>
      <c r="D2167" s="4"/>
      <c r="E2167" s="4"/>
      <c r="F2167" s="4"/>
      <c r="G2167" s="4"/>
      <c r="H2167" s="4"/>
      <c r="I2167" s="4"/>
      <c r="J2167" s="4"/>
      <c r="K2167" s="4"/>
      <c r="L2167" s="4"/>
      <c r="M2167" s="4"/>
      <c r="N2167" s="4"/>
      <c r="O2167" s="4"/>
      <c r="P2167" s="4"/>
      <c r="Q2167" s="4"/>
      <c r="R2167" s="4"/>
      <c r="S2167" s="4"/>
      <c r="T2167" s="4"/>
      <c r="U2167" s="4"/>
      <c r="V2167" s="4"/>
      <c r="W2167" s="4"/>
      <c r="X2167" s="4"/>
      <c r="Y2167" s="4"/>
      <c r="Z2167" s="4"/>
      <c r="AA2167" s="4"/>
      <c r="AB2167" s="5"/>
    </row>
    <row r="2168" spans="1:28" x14ac:dyDescent="0.35">
      <c r="A2168" s="3"/>
      <c r="B2168" s="4"/>
      <c r="C2168" s="4"/>
      <c r="D2168" s="4"/>
      <c r="E2168" s="4"/>
      <c r="F2168" s="4"/>
      <c r="G2168" s="4"/>
      <c r="H2168" s="4"/>
      <c r="I2168" s="4"/>
      <c r="J2168" s="4"/>
      <c r="K2168" s="4"/>
      <c r="L2168" s="4"/>
      <c r="M2168" s="4"/>
      <c r="N2168" s="4"/>
      <c r="O2168" s="4"/>
      <c r="P2168" s="4"/>
      <c r="Q2168" s="4"/>
      <c r="R2168" s="4"/>
      <c r="S2168" s="4"/>
      <c r="T2168" s="4"/>
      <c r="U2168" s="4"/>
      <c r="V2168" s="4"/>
      <c r="W2168" s="4"/>
      <c r="X2168" s="4"/>
      <c r="Y2168" s="4"/>
      <c r="Z2168" s="4"/>
      <c r="AA2168" s="4"/>
      <c r="AB2168" s="5"/>
    </row>
    <row r="2169" spans="1:28" x14ac:dyDescent="0.35">
      <c r="A2169" s="3"/>
      <c r="B2169" s="4"/>
      <c r="C2169" s="4"/>
      <c r="D2169" s="4"/>
      <c r="E2169" s="4"/>
      <c r="F2169" s="4"/>
      <c r="G2169" s="4"/>
      <c r="H2169" s="4"/>
      <c r="I2169" s="4"/>
      <c r="J2169" s="4"/>
      <c r="K2169" s="4"/>
      <c r="L2169" s="4"/>
      <c r="M2169" s="4"/>
      <c r="N2169" s="4"/>
      <c r="O2169" s="4"/>
      <c r="P2169" s="4"/>
      <c r="Q2169" s="4"/>
      <c r="R2169" s="4"/>
      <c r="S2169" s="4"/>
      <c r="T2169" s="4"/>
      <c r="U2169" s="4"/>
      <c r="V2169" s="4"/>
      <c r="W2169" s="4"/>
      <c r="X2169" s="4"/>
      <c r="Y2169" s="4"/>
      <c r="Z2169" s="4"/>
      <c r="AA2169" s="4"/>
      <c r="AB2169" s="5"/>
    </row>
    <row r="2170" spans="1:28" x14ac:dyDescent="0.35">
      <c r="A2170" s="3"/>
      <c r="B2170" s="4"/>
      <c r="C2170" s="4"/>
      <c r="D2170" s="4"/>
      <c r="E2170" s="4"/>
      <c r="F2170" s="4"/>
      <c r="G2170" s="4"/>
      <c r="H2170" s="4"/>
      <c r="I2170" s="4"/>
      <c r="J2170" s="4"/>
      <c r="K2170" s="4"/>
      <c r="L2170" s="4"/>
      <c r="M2170" s="4"/>
      <c r="N2170" s="4"/>
      <c r="O2170" s="4"/>
      <c r="P2170" s="4"/>
      <c r="Q2170" s="4"/>
      <c r="R2170" s="4"/>
      <c r="S2170" s="4"/>
      <c r="T2170" s="4"/>
      <c r="U2170" s="4"/>
      <c r="V2170" s="4"/>
      <c r="W2170" s="4"/>
      <c r="X2170" s="4"/>
      <c r="Y2170" s="4"/>
      <c r="Z2170" s="4"/>
      <c r="AA2170" s="4"/>
      <c r="AB2170" s="5"/>
    </row>
    <row r="2171" spans="1:28" x14ac:dyDescent="0.35">
      <c r="A2171" s="3"/>
      <c r="B2171" s="4"/>
      <c r="C2171" s="4"/>
      <c r="D2171" s="4"/>
      <c r="E2171" s="4"/>
      <c r="F2171" s="4"/>
      <c r="G2171" s="4"/>
      <c r="H2171" s="4"/>
      <c r="I2171" s="4"/>
      <c r="J2171" s="4"/>
      <c r="K2171" s="4"/>
      <c r="L2171" s="4"/>
      <c r="M2171" s="4"/>
      <c r="N2171" s="4"/>
      <c r="O2171" s="4"/>
      <c r="P2171" s="4"/>
      <c r="Q2171" s="4"/>
      <c r="R2171" s="4"/>
      <c r="S2171" s="4"/>
      <c r="T2171" s="4"/>
      <c r="U2171" s="4"/>
      <c r="V2171" s="4"/>
      <c r="W2171" s="4"/>
      <c r="X2171" s="4"/>
      <c r="Y2171" s="4"/>
      <c r="Z2171" s="4"/>
      <c r="AA2171" s="4"/>
      <c r="AB2171" s="5"/>
    </row>
    <row r="2172" spans="1:28" x14ac:dyDescent="0.35">
      <c r="A2172" s="3"/>
      <c r="B2172" s="4"/>
      <c r="C2172" s="4"/>
      <c r="D2172" s="4"/>
      <c r="E2172" s="4"/>
      <c r="F2172" s="4"/>
      <c r="G2172" s="4"/>
      <c r="H2172" s="4"/>
      <c r="I2172" s="4"/>
      <c r="J2172" s="4"/>
      <c r="K2172" s="4"/>
      <c r="L2172" s="4"/>
      <c r="M2172" s="4"/>
      <c r="N2172" s="4"/>
      <c r="O2172" s="4"/>
      <c r="P2172" s="4"/>
      <c r="Q2172" s="4"/>
      <c r="R2172" s="4"/>
      <c r="S2172" s="4"/>
      <c r="T2172" s="4"/>
      <c r="U2172" s="4"/>
      <c r="V2172" s="4"/>
      <c r="W2172" s="4"/>
      <c r="X2172" s="4"/>
      <c r="Y2172" s="4"/>
      <c r="Z2172" s="4"/>
      <c r="AA2172" s="4"/>
      <c r="AB2172" s="5"/>
    </row>
    <row r="2173" spans="1:28" x14ac:dyDescent="0.35">
      <c r="A2173" s="3"/>
      <c r="B2173" s="4"/>
      <c r="C2173" s="4"/>
      <c r="D2173" s="4"/>
      <c r="E2173" s="4"/>
      <c r="F2173" s="4"/>
      <c r="G2173" s="4"/>
      <c r="H2173" s="4"/>
      <c r="I2173" s="4"/>
      <c r="J2173" s="4"/>
      <c r="K2173" s="4"/>
      <c r="L2173" s="4"/>
      <c r="M2173" s="4"/>
      <c r="N2173" s="4"/>
      <c r="O2173" s="4"/>
      <c r="P2173" s="4"/>
      <c r="Q2173" s="4"/>
      <c r="R2173" s="4"/>
      <c r="S2173" s="4"/>
      <c r="T2173" s="4"/>
      <c r="U2173" s="4"/>
      <c r="V2173" s="4"/>
      <c r="W2173" s="4"/>
      <c r="X2173" s="4"/>
      <c r="Y2173" s="4"/>
      <c r="Z2173" s="4"/>
      <c r="AA2173" s="4"/>
      <c r="AB2173" s="5"/>
    </row>
    <row r="2174" spans="1:28" x14ac:dyDescent="0.35">
      <c r="A2174" s="3"/>
      <c r="B2174" s="4"/>
      <c r="C2174" s="4"/>
      <c r="D2174" s="4"/>
      <c r="E2174" s="4"/>
      <c r="F2174" s="4"/>
      <c r="G2174" s="4"/>
      <c r="H2174" s="4"/>
      <c r="I2174" s="4"/>
      <c r="J2174" s="4"/>
      <c r="K2174" s="4"/>
      <c r="L2174" s="4"/>
      <c r="M2174" s="4"/>
      <c r="N2174" s="4"/>
      <c r="O2174" s="4"/>
      <c r="P2174" s="4"/>
      <c r="Q2174" s="4"/>
      <c r="R2174" s="4"/>
      <c r="S2174" s="4"/>
      <c r="T2174" s="4"/>
      <c r="U2174" s="4"/>
      <c r="V2174" s="4"/>
      <c r="W2174" s="4"/>
      <c r="X2174" s="4"/>
      <c r="Y2174" s="4"/>
      <c r="Z2174" s="4"/>
      <c r="AA2174" s="4"/>
      <c r="AB2174" s="5"/>
    </row>
    <row r="2175" spans="1:28" x14ac:dyDescent="0.35">
      <c r="A2175" s="3"/>
      <c r="B2175" s="4"/>
      <c r="C2175" s="4"/>
      <c r="D2175" s="4"/>
      <c r="E2175" s="4"/>
      <c r="F2175" s="4"/>
      <c r="G2175" s="4"/>
      <c r="H2175" s="4"/>
      <c r="I2175" s="4"/>
      <c r="J2175" s="4"/>
      <c r="K2175" s="4"/>
      <c r="L2175" s="4"/>
      <c r="M2175" s="4"/>
      <c r="N2175" s="4"/>
      <c r="O2175" s="4"/>
      <c r="P2175" s="4"/>
      <c r="Q2175" s="4"/>
      <c r="R2175" s="4"/>
      <c r="S2175" s="4"/>
      <c r="T2175" s="4"/>
      <c r="U2175" s="4"/>
      <c r="V2175" s="4"/>
      <c r="W2175" s="4"/>
      <c r="X2175" s="4"/>
      <c r="Y2175" s="4"/>
      <c r="Z2175" s="4"/>
      <c r="AA2175" s="4"/>
      <c r="AB2175" s="5"/>
    </row>
    <row r="2176" spans="1:28" x14ac:dyDescent="0.35">
      <c r="A2176" s="3"/>
      <c r="B2176" s="4"/>
      <c r="C2176" s="4"/>
      <c r="D2176" s="4"/>
      <c r="E2176" s="4"/>
      <c r="F2176" s="4"/>
      <c r="G2176" s="4"/>
      <c r="H2176" s="4"/>
      <c r="I2176" s="4"/>
      <c r="J2176" s="4"/>
      <c r="K2176" s="4"/>
      <c r="L2176" s="4"/>
      <c r="M2176" s="4"/>
      <c r="N2176" s="4"/>
      <c r="O2176" s="4"/>
      <c r="P2176" s="4"/>
      <c r="Q2176" s="4"/>
      <c r="R2176" s="4"/>
      <c r="S2176" s="4"/>
      <c r="T2176" s="4"/>
      <c r="U2176" s="4"/>
      <c r="V2176" s="4"/>
      <c r="W2176" s="4"/>
      <c r="X2176" s="4"/>
      <c r="Y2176" s="4"/>
      <c r="Z2176" s="4"/>
      <c r="AA2176" s="4"/>
      <c r="AB2176" s="5"/>
    </row>
    <row r="2177" spans="1:28" x14ac:dyDescent="0.35">
      <c r="A2177" s="3"/>
      <c r="B2177" s="4"/>
      <c r="C2177" s="4"/>
      <c r="D2177" s="4"/>
      <c r="E2177" s="4"/>
      <c r="F2177" s="4"/>
      <c r="G2177" s="4"/>
      <c r="H2177" s="4"/>
      <c r="I2177" s="4"/>
      <c r="J2177" s="4"/>
      <c r="K2177" s="4"/>
      <c r="L2177" s="4"/>
      <c r="M2177" s="4"/>
      <c r="N2177" s="4"/>
      <c r="O2177" s="4"/>
      <c r="P2177" s="4"/>
      <c r="Q2177" s="4"/>
      <c r="R2177" s="4"/>
      <c r="S2177" s="4"/>
      <c r="T2177" s="4"/>
      <c r="U2177" s="4"/>
      <c r="V2177" s="4"/>
      <c r="W2177" s="4"/>
      <c r="X2177" s="4"/>
      <c r="Y2177" s="4"/>
      <c r="Z2177" s="4"/>
      <c r="AA2177" s="4"/>
      <c r="AB2177" s="5"/>
    </row>
    <row r="2178" spans="1:28" x14ac:dyDescent="0.35">
      <c r="A2178" s="3"/>
      <c r="B2178" s="4"/>
      <c r="C2178" s="4"/>
      <c r="D2178" s="4"/>
      <c r="E2178" s="4"/>
      <c r="F2178" s="4"/>
      <c r="G2178" s="4"/>
      <c r="H2178" s="4"/>
      <c r="I2178" s="4"/>
      <c r="J2178" s="4"/>
      <c r="K2178" s="4"/>
      <c r="L2178" s="4"/>
      <c r="M2178" s="4"/>
      <c r="N2178" s="4"/>
      <c r="O2178" s="4"/>
      <c r="P2178" s="4"/>
      <c r="Q2178" s="4"/>
      <c r="R2178" s="4"/>
      <c r="S2178" s="4"/>
      <c r="T2178" s="4"/>
      <c r="U2178" s="4"/>
      <c r="V2178" s="4"/>
      <c r="W2178" s="4"/>
      <c r="X2178" s="4"/>
      <c r="Y2178" s="4"/>
      <c r="Z2178" s="4"/>
      <c r="AA2178" s="4"/>
      <c r="AB2178" s="5"/>
    </row>
    <row r="2179" spans="1:28" x14ac:dyDescent="0.35">
      <c r="A2179" s="3"/>
      <c r="B2179" s="4"/>
      <c r="C2179" s="4"/>
      <c r="D2179" s="4"/>
      <c r="E2179" s="4"/>
      <c r="F2179" s="4"/>
      <c r="G2179" s="4"/>
      <c r="H2179" s="4"/>
      <c r="I2179" s="4"/>
      <c r="J2179" s="4"/>
      <c r="K2179" s="4"/>
      <c r="L2179" s="4"/>
      <c r="M2179" s="4"/>
      <c r="N2179" s="4"/>
      <c r="O2179" s="4"/>
      <c r="P2179" s="4"/>
      <c r="Q2179" s="4"/>
      <c r="R2179" s="4"/>
      <c r="S2179" s="4"/>
      <c r="T2179" s="4"/>
      <c r="U2179" s="4"/>
      <c r="V2179" s="4"/>
      <c r="W2179" s="4"/>
      <c r="X2179" s="4"/>
      <c r="Y2179" s="4"/>
      <c r="Z2179" s="4"/>
      <c r="AA2179" s="4"/>
      <c r="AB2179" s="5"/>
    </row>
    <row r="2180" spans="1:28" x14ac:dyDescent="0.35">
      <c r="A2180" s="3"/>
      <c r="B2180" s="4"/>
      <c r="C2180" s="4"/>
      <c r="D2180" s="4"/>
      <c r="E2180" s="4"/>
      <c r="F2180" s="4"/>
      <c r="G2180" s="4"/>
      <c r="H2180" s="4"/>
      <c r="I2180" s="4"/>
      <c r="J2180" s="4"/>
      <c r="K2180" s="4"/>
      <c r="L2180" s="4"/>
      <c r="M2180" s="4"/>
      <c r="N2180" s="4"/>
      <c r="O2180" s="4"/>
      <c r="P2180" s="4"/>
      <c r="Q2180" s="4"/>
      <c r="R2180" s="4"/>
      <c r="S2180" s="4"/>
      <c r="T2180" s="4"/>
      <c r="U2180" s="4"/>
      <c r="V2180" s="4"/>
      <c r="W2180" s="4"/>
      <c r="X2180" s="4"/>
      <c r="Y2180" s="4"/>
      <c r="Z2180" s="4"/>
      <c r="AA2180" s="4"/>
      <c r="AB2180" s="5"/>
    </row>
    <row r="2181" spans="1:28" x14ac:dyDescent="0.35">
      <c r="A2181" s="3"/>
      <c r="B2181" s="4"/>
      <c r="C2181" s="4"/>
      <c r="D2181" s="4"/>
      <c r="E2181" s="4"/>
      <c r="F2181" s="4"/>
      <c r="G2181" s="4"/>
      <c r="H2181" s="4"/>
      <c r="I2181" s="4"/>
      <c r="J2181" s="4"/>
      <c r="K2181" s="4"/>
      <c r="L2181" s="4"/>
      <c r="M2181" s="4"/>
      <c r="N2181" s="4"/>
      <c r="O2181" s="4"/>
      <c r="P2181" s="4"/>
      <c r="Q2181" s="4"/>
      <c r="R2181" s="4"/>
      <c r="S2181" s="4"/>
      <c r="T2181" s="4"/>
      <c r="U2181" s="4"/>
      <c r="V2181" s="4"/>
      <c r="W2181" s="4"/>
      <c r="X2181" s="4"/>
      <c r="Y2181" s="4"/>
      <c r="Z2181" s="4"/>
      <c r="AA2181" s="4"/>
      <c r="AB2181" s="5"/>
    </row>
    <row r="2182" spans="1:28" x14ac:dyDescent="0.35">
      <c r="A2182" s="3"/>
      <c r="B2182" s="4"/>
      <c r="C2182" s="4"/>
      <c r="D2182" s="4"/>
      <c r="E2182" s="4"/>
      <c r="F2182" s="4"/>
      <c r="G2182" s="4"/>
      <c r="H2182" s="4"/>
      <c r="I2182" s="4"/>
      <c r="J2182" s="4"/>
      <c r="K2182" s="4"/>
      <c r="L2182" s="4"/>
      <c r="M2182" s="4"/>
      <c r="N2182" s="4"/>
      <c r="O2182" s="4"/>
      <c r="P2182" s="4"/>
      <c r="Q2182" s="4"/>
      <c r="R2182" s="4"/>
      <c r="S2182" s="4"/>
      <c r="T2182" s="4"/>
      <c r="U2182" s="4"/>
      <c r="V2182" s="4"/>
      <c r="W2182" s="4"/>
      <c r="X2182" s="4"/>
      <c r="Y2182" s="4"/>
      <c r="Z2182" s="4"/>
      <c r="AA2182" s="4"/>
      <c r="AB2182" s="5"/>
    </row>
    <row r="2183" spans="1:28" x14ac:dyDescent="0.35">
      <c r="A2183" s="3"/>
      <c r="B2183" s="4"/>
      <c r="C2183" s="4"/>
      <c r="D2183" s="4"/>
      <c r="E2183" s="4"/>
      <c r="F2183" s="4"/>
      <c r="G2183" s="4"/>
      <c r="H2183" s="4"/>
      <c r="I2183" s="4"/>
      <c r="J2183" s="4"/>
      <c r="K2183" s="4"/>
      <c r="L2183" s="4"/>
      <c r="M2183" s="4"/>
      <c r="N2183" s="4"/>
      <c r="O2183" s="4"/>
      <c r="P2183" s="4"/>
      <c r="Q2183" s="4"/>
      <c r="R2183" s="4"/>
      <c r="S2183" s="4"/>
      <c r="T2183" s="4"/>
      <c r="U2183" s="4"/>
      <c r="V2183" s="4"/>
      <c r="W2183" s="4"/>
      <c r="X2183" s="4"/>
      <c r="Y2183" s="4"/>
      <c r="Z2183" s="4"/>
      <c r="AA2183" s="4"/>
      <c r="AB2183" s="5"/>
    </row>
    <row r="2184" spans="1:28" x14ac:dyDescent="0.35">
      <c r="A2184" s="3"/>
      <c r="B2184" s="4"/>
      <c r="C2184" s="4"/>
      <c r="D2184" s="4"/>
      <c r="E2184" s="4"/>
      <c r="F2184" s="4"/>
      <c r="G2184" s="4"/>
      <c r="H2184" s="4"/>
      <c r="I2184" s="4"/>
      <c r="J2184" s="4"/>
      <c r="K2184" s="4"/>
      <c r="L2184" s="4"/>
      <c r="M2184" s="4"/>
      <c r="N2184" s="4"/>
      <c r="O2184" s="4"/>
      <c r="P2184" s="4"/>
      <c r="Q2184" s="4"/>
      <c r="R2184" s="4"/>
      <c r="S2184" s="4"/>
      <c r="T2184" s="4"/>
      <c r="U2184" s="4"/>
      <c r="V2184" s="4"/>
      <c r="W2184" s="4"/>
      <c r="X2184" s="4"/>
      <c r="Y2184" s="4"/>
      <c r="Z2184" s="4"/>
      <c r="AA2184" s="4"/>
      <c r="AB2184" s="5"/>
    </row>
    <row r="2185" spans="1:28" x14ac:dyDescent="0.35">
      <c r="A2185" s="3"/>
      <c r="B2185" s="4"/>
      <c r="C2185" s="4"/>
      <c r="D2185" s="4"/>
      <c r="E2185" s="4"/>
      <c r="F2185" s="4"/>
      <c r="G2185" s="4"/>
      <c r="H2185" s="4"/>
      <c r="I2185" s="4"/>
      <c r="J2185" s="4"/>
      <c r="K2185" s="4"/>
      <c r="L2185" s="4"/>
      <c r="M2185" s="4"/>
      <c r="N2185" s="4"/>
      <c r="O2185" s="4"/>
      <c r="P2185" s="4"/>
      <c r="Q2185" s="4"/>
      <c r="R2185" s="4"/>
      <c r="S2185" s="4"/>
      <c r="T2185" s="4"/>
      <c r="U2185" s="4"/>
      <c r="V2185" s="4"/>
      <c r="W2185" s="4"/>
      <c r="X2185" s="4"/>
      <c r="Y2185" s="4"/>
      <c r="Z2185" s="4"/>
      <c r="AA2185" s="4"/>
      <c r="AB2185" s="5"/>
    </row>
    <row r="2186" spans="1:28" x14ac:dyDescent="0.35">
      <c r="A2186" s="3"/>
      <c r="B2186" s="4"/>
      <c r="C2186" s="4"/>
      <c r="D2186" s="4"/>
      <c r="E2186" s="4"/>
      <c r="F2186" s="4"/>
      <c r="G2186" s="4"/>
      <c r="H2186" s="4"/>
      <c r="I2186" s="4"/>
      <c r="J2186" s="4"/>
      <c r="K2186" s="4"/>
      <c r="L2186" s="4"/>
      <c r="M2186" s="4"/>
      <c r="N2186" s="4"/>
      <c r="O2186" s="4"/>
      <c r="P2186" s="4"/>
      <c r="Q2186" s="4"/>
      <c r="R2186" s="4"/>
      <c r="S2186" s="4"/>
      <c r="T2186" s="4"/>
      <c r="U2186" s="4"/>
      <c r="V2186" s="4"/>
      <c r="W2186" s="4"/>
      <c r="X2186" s="4"/>
      <c r="Y2186" s="4"/>
      <c r="Z2186" s="4"/>
      <c r="AA2186" s="4"/>
      <c r="AB2186" s="5"/>
    </row>
    <row r="2187" spans="1:28" x14ac:dyDescent="0.35">
      <c r="A2187" s="3"/>
      <c r="B2187" s="4"/>
      <c r="C2187" s="4"/>
      <c r="D2187" s="4"/>
      <c r="E2187" s="4"/>
      <c r="F2187" s="4"/>
      <c r="G2187" s="4"/>
      <c r="H2187" s="4"/>
      <c r="I2187" s="4"/>
      <c r="J2187" s="4"/>
      <c r="K2187" s="4"/>
      <c r="L2187" s="4"/>
      <c r="M2187" s="4"/>
      <c r="N2187" s="4"/>
      <c r="O2187" s="4"/>
      <c r="P2187" s="4"/>
      <c r="Q2187" s="4"/>
      <c r="R2187" s="4"/>
      <c r="S2187" s="4"/>
      <c r="T2187" s="4"/>
      <c r="U2187" s="4"/>
      <c r="V2187" s="4"/>
      <c r="W2187" s="4"/>
      <c r="X2187" s="4"/>
      <c r="Y2187" s="4"/>
      <c r="Z2187" s="4"/>
      <c r="AA2187" s="4"/>
      <c r="AB2187" s="5"/>
    </row>
    <row r="2188" spans="1:28" x14ac:dyDescent="0.35">
      <c r="A2188" s="3"/>
      <c r="B2188" s="4"/>
      <c r="C2188" s="4"/>
      <c r="D2188" s="4"/>
      <c r="E2188" s="4"/>
      <c r="F2188" s="4"/>
      <c r="G2188" s="4"/>
      <c r="H2188" s="4"/>
      <c r="I2188" s="4"/>
      <c r="J2188" s="4"/>
      <c r="K2188" s="4"/>
      <c r="L2188" s="4"/>
      <c r="M2188" s="4"/>
      <c r="N2188" s="4"/>
      <c r="O2188" s="4"/>
      <c r="P2188" s="4"/>
      <c r="Q2188" s="4"/>
      <c r="R2188" s="4"/>
      <c r="S2188" s="4"/>
      <c r="T2188" s="4"/>
      <c r="U2188" s="4"/>
      <c r="V2188" s="4"/>
      <c r="W2188" s="4"/>
      <c r="X2188" s="4"/>
      <c r="Y2188" s="4"/>
      <c r="Z2188" s="4"/>
      <c r="AA2188" s="4"/>
      <c r="AB2188" s="5"/>
    </row>
    <row r="2189" spans="1:28" x14ac:dyDescent="0.35">
      <c r="A2189" s="3"/>
      <c r="B2189" s="4"/>
      <c r="C2189" s="4"/>
      <c r="D2189" s="4"/>
      <c r="E2189" s="4"/>
      <c r="F2189" s="4"/>
      <c r="G2189" s="4"/>
      <c r="H2189" s="4"/>
      <c r="I2189" s="4"/>
      <c r="J2189" s="4"/>
      <c r="K2189" s="4"/>
      <c r="L2189" s="4"/>
      <c r="M2189" s="4"/>
      <c r="N2189" s="4"/>
      <c r="O2189" s="4"/>
      <c r="P2189" s="4"/>
      <c r="Q2189" s="4"/>
      <c r="R2189" s="4"/>
      <c r="S2189" s="4"/>
      <c r="T2189" s="4"/>
      <c r="U2189" s="4"/>
      <c r="V2189" s="4"/>
      <c r="W2189" s="4"/>
      <c r="X2189" s="4"/>
      <c r="Y2189" s="4"/>
      <c r="Z2189" s="4"/>
      <c r="AA2189" s="4"/>
      <c r="AB2189" s="5"/>
    </row>
    <row r="2190" spans="1:28" x14ac:dyDescent="0.35">
      <c r="A2190" s="3"/>
      <c r="B2190" s="4"/>
      <c r="C2190" s="4"/>
      <c r="D2190" s="4"/>
      <c r="E2190" s="4"/>
      <c r="F2190" s="4"/>
      <c r="G2190" s="4"/>
      <c r="H2190" s="4"/>
      <c r="I2190" s="4"/>
      <c r="J2190" s="4"/>
      <c r="K2190" s="4"/>
      <c r="L2190" s="4"/>
      <c r="M2190" s="4"/>
      <c r="N2190" s="4"/>
      <c r="O2190" s="4"/>
      <c r="P2190" s="4"/>
      <c r="Q2190" s="4"/>
      <c r="R2190" s="4"/>
      <c r="S2190" s="4"/>
      <c r="T2190" s="4"/>
      <c r="U2190" s="4"/>
      <c r="V2190" s="4"/>
      <c r="W2190" s="4"/>
      <c r="X2190" s="4"/>
      <c r="Y2190" s="4"/>
      <c r="Z2190" s="4"/>
      <c r="AA2190" s="4"/>
      <c r="AB2190" s="5"/>
    </row>
    <row r="2191" spans="1:28" x14ac:dyDescent="0.35">
      <c r="A2191" s="3"/>
      <c r="B2191" s="4"/>
      <c r="C2191" s="4"/>
      <c r="D2191" s="4"/>
      <c r="E2191" s="4"/>
      <c r="F2191" s="4"/>
      <c r="G2191" s="4"/>
      <c r="H2191" s="4"/>
      <c r="I2191" s="4"/>
      <c r="J2191" s="4"/>
      <c r="K2191" s="4"/>
      <c r="L2191" s="4"/>
      <c r="M2191" s="4"/>
      <c r="N2191" s="4"/>
      <c r="O2191" s="4"/>
      <c r="P2191" s="4"/>
      <c r="Q2191" s="4"/>
      <c r="R2191" s="4"/>
      <c r="S2191" s="4"/>
      <c r="T2191" s="4"/>
      <c r="U2191" s="4"/>
      <c r="V2191" s="4"/>
      <c r="W2191" s="4"/>
      <c r="X2191" s="4"/>
      <c r="Y2191" s="4"/>
      <c r="Z2191" s="4"/>
      <c r="AA2191" s="4"/>
      <c r="AB2191" s="5"/>
    </row>
    <row r="2192" spans="1:28" x14ac:dyDescent="0.35">
      <c r="A2192" s="3"/>
      <c r="B2192" s="4"/>
      <c r="C2192" s="4"/>
      <c r="D2192" s="4"/>
      <c r="E2192" s="4"/>
      <c r="F2192" s="4"/>
      <c r="G2192" s="4"/>
      <c r="H2192" s="4"/>
      <c r="I2192" s="4"/>
      <c r="J2192" s="4"/>
      <c r="K2192" s="4"/>
      <c r="L2192" s="4"/>
      <c r="M2192" s="4"/>
      <c r="N2192" s="4"/>
      <c r="O2192" s="4"/>
      <c r="P2192" s="4"/>
      <c r="Q2192" s="4"/>
      <c r="R2192" s="4"/>
      <c r="S2192" s="4"/>
      <c r="T2192" s="4"/>
      <c r="U2192" s="4"/>
      <c r="V2192" s="4"/>
      <c r="W2192" s="4"/>
      <c r="X2192" s="4"/>
      <c r="Y2192" s="4"/>
      <c r="Z2192" s="4"/>
      <c r="AA2192" s="4"/>
      <c r="AB2192" s="5"/>
    </row>
    <row r="2193" spans="1:28" x14ac:dyDescent="0.35">
      <c r="A2193" s="3"/>
      <c r="B2193" s="4"/>
      <c r="C2193" s="4"/>
      <c r="D2193" s="4"/>
      <c r="E2193" s="4"/>
      <c r="F2193" s="4"/>
      <c r="G2193" s="4"/>
      <c r="H2193" s="4"/>
      <c r="I2193" s="4"/>
      <c r="J2193" s="4"/>
      <c r="K2193" s="4"/>
      <c r="L2193" s="4"/>
      <c r="M2193" s="4"/>
      <c r="N2193" s="4"/>
      <c r="O2193" s="4"/>
      <c r="P2193" s="4"/>
      <c r="Q2193" s="4"/>
      <c r="R2193" s="4"/>
      <c r="S2193" s="4"/>
      <c r="T2193" s="4"/>
      <c r="U2193" s="4"/>
      <c r="V2193" s="4"/>
      <c r="W2193" s="4"/>
      <c r="X2193" s="4"/>
      <c r="Y2193" s="4"/>
      <c r="Z2193" s="4"/>
      <c r="AA2193" s="4"/>
      <c r="AB2193" s="5"/>
    </row>
    <row r="2194" spans="1:28" x14ac:dyDescent="0.35">
      <c r="A2194" s="3"/>
      <c r="B2194" s="4"/>
      <c r="C2194" s="4"/>
      <c r="D2194" s="4"/>
      <c r="E2194" s="4"/>
      <c r="F2194" s="4"/>
      <c r="G2194" s="4"/>
      <c r="H2194" s="4"/>
      <c r="I2194" s="4"/>
      <c r="J2194" s="4"/>
      <c r="K2194" s="4"/>
      <c r="L2194" s="4"/>
      <c r="M2194" s="4"/>
      <c r="N2194" s="4"/>
      <c r="O2194" s="4"/>
      <c r="P2194" s="4"/>
      <c r="Q2194" s="4"/>
      <c r="R2194" s="4"/>
      <c r="S2194" s="4"/>
      <c r="T2194" s="4"/>
      <c r="U2194" s="4"/>
      <c r="V2194" s="4"/>
      <c r="W2194" s="4"/>
      <c r="X2194" s="4"/>
      <c r="Y2194" s="4"/>
      <c r="Z2194" s="4"/>
      <c r="AA2194" s="4"/>
      <c r="AB2194" s="5"/>
    </row>
    <row r="2195" spans="1:28" x14ac:dyDescent="0.35">
      <c r="A2195" s="3"/>
      <c r="B2195" s="4"/>
      <c r="C2195" s="4"/>
      <c r="D2195" s="4"/>
      <c r="E2195" s="4"/>
      <c r="F2195" s="4"/>
      <c r="G2195" s="4"/>
      <c r="H2195" s="4"/>
      <c r="I2195" s="4"/>
      <c r="J2195" s="4"/>
      <c r="K2195" s="4"/>
      <c r="L2195" s="4"/>
      <c r="M2195" s="4"/>
      <c r="N2195" s="4"/>
      <c r="O2195" s="4"/>
      <c r="P2195" s="4"/>
      <c r="Q2195" s="4"/>
      <c r="R2195" s="4"/>
      <c r="S2195" s="4"/>
      <c r="T2195" s="4"/>
      <c r="U2195" s="4"/>
      <c r="V2195" s="4"/>
      <c r="W2195" s="4"/>
      <c r="X2195" s="4"/>
      <c r="Y2195" s="4"/>
      <c r="Z2195" s="4"/>
      <c r="AA2195" s="4"/>
      <c r="AB2195" s="5"/>
    </row>
    <row r="2196" spans="1:28" x14ac:dyDescent="0.35">
      <c r="A2196" s="3"/>
      <c r="B2196" s="4"/>
      <c r="C2196" s="4"/>
      <c r="D2196" s="4"/>
      <c r="E2196" s="4"/>
      <c r="F2196" s="4"/>
      <c r="G2196" s="4"/>
      <c r="H2196" s="4"/>
      <c r="I2196" s="4"/>
      <c r="J2196" s="4"/>
      <c r="K2196" s="4"/>
      <c r="L2196" s="4"/>
      <c r="M2196" s="4"/>
      <c r="N2196" s="4"/>
      <c r="O2196" s="4"/>
      <c r="P2196" s="4"/>
      <c r="Q2196" s="4"/>
      <c r="R2196" s="4"/>
      <c r="S2196" s="4"/>
      <c r="T2196" s="4"/>
      <c r="U2196" s="4"/>
      <c r="V2196" s="4"/>
      <c r="W2196" s="4"/>
      <c r="X2196" s="4"/>
      <c r="Y2196" s="4"/>
      <c r="Z2196" s="4"/>
      <c r="AA2196" s="4"/>
      <c r="AB2196" s="5"/>
    </row>
    <row r="2197" spans="1:28" x14ac:dyDescent="0.35">
      <c r="A2197" s="3"/>
      <c r="B2197" s="4"/>
      <c r="C2197" s="4"/>
      <c r="D2197" s="4"/>
      <c r="E2197" s="4"/>
      <c r="F2197" s="4"/>
      <c r="G2197" s="4"/>
      <c r="H2197" s="4"/>
      <c r="I2197" s="4"/>
      <c r="J2197" s="4"/>
      <c r="K2197" s="4"/>
      <c r="L2197" s="4"/>
      <c r="M2197" s="4"/>
      <c r="N2197" s="4"/>
      <c r="O2197" s="4"/>
      <c r="P2197" s="4"/>
      <c r="Q2197" s="4"/>
      <c r="R2197" s="4"/>
      <c r="S2197" s="4"/>
      <c r="T2197" s="4"/>
      <c r="U2197" s="4"/>
      <c r="V2197" s="4"/>
      <c r="W2197" s="4"/>
      <c r="X2197" s="4"/>
      <c r="Y2197" s="4"/>
      <c r="Z2197" s="4"/>
      <c r="AA2197" s="4"/>
      <c r="AB2197" s="5"/>
    </row>
    <row r="2198" spans="1:28" x14ac:dyDescent="0.35">
      <c r="A2198" s="3"/>
      <c r="B2198" s="4"/>
      <c r="C2198" s="4"/>
      <c r="D2198" s="4"/>
      <c r="E2198" s="4"/>
      <c r="F2198" s="4"/>
      <c r="G2198" s="4"/>
      <c r="H2198" s="4"/>
      <c r="I2198" s="4"/>
      <c r="J2198" s="4"/>
      <c r="K2198" s="4"/>
      <c r="L2198" s="4"/>
      <c r="M2198" s="4"/>
      <c r="N2198" s="4"/>
      <c r="O2198" s="4"/>
      <c r="P2198" s="4"/>
      <c r="Q2198" s="4"/>
      <c r="R2198" s="4"/>
      <c r="S2198" s="4"/>
      <c r="T2198" s="4"/>
      <c r="U2198" s="4"/>
      <c r="V2198" s="4"/>
      <c r="W2198" s="4"/>
      <c r="X2198" s="4"/>
      <c r="Y2198" s="4"/>
      <c r="Z2198" s="4"/>
      <c r="AA2198" s="4"/>
      <c r="AB2198" s="5"/>
    </row>
    <row r="2199" spans="1:28" x14ac:dyDescent="0.35">
      <c r="A2199" s="3"/>
      <c r="B2199" s="4"/>
      <c r="C2199" s="4"/>
      <c r="D2199" s="4"/>
      <c r="E2199" s="4"/>
      <c r="F2199" s="4"/>
      <c r="G2199" s="4"/>
      <c r="H2199" s="4"/>
      <c r="I2199" s="4"/>
      <c r="J2199" s="4"/>
      <c r="K2199" s="4"/>
      <c r="L2199" s="4"/>
      <c r="M2199" s="4"/>
      <c r="N2199" s="4"/>
      <c r="O2199" s="4"/>
      <c r="P2199" s="4"/>
      <c r="Q2199" s="4"/>
      <c r="R2199" s="4"/>
      <c r="S2199" s="4"/>
      <c r="T2199" s="4"/>
      <c r="U2199" s="4"/>
      <c r="V2199" s="4"/>
      <c r="W2199" s="4"/>
      <c r="X2199" s="4"/>
      <c r="Y2199" s="4"/>
      <c r="Z2199" s="4"/>
      <c r="AA2199" s="4"/>
      <c r="AB2199" s="5"/>
    </row>
    <row r="2200" spans="1:28" x14ac:dyDescent="0.35">
      <c r="A2200" s="3"/>
      <c r="B2200" s="4"/>
      <c r="C2200" s="4"/>
      <c r="D2200" s="4"/>
      <c r="E2200" s="4"/>
      <c r="F2200" s="4"/>
      <c r="G2200" s="4"/>
      <c r="H2200" s="4"/>
      <c r="I2200" s="4"/>
      <c r="J2200" s="4"/>
      <c r="K2200" s="4"/>
      <c r="L2200" s="4"/>
      <c r="M2200" s="4"/>
      <c r="N2200" s="4"/>
      <c r="O2200" s="4"/>
      <c r="P2200" s="4"/>
      <c r="Q2200" s="4"/>
      <c r="R2200" s="4"/>
      <c r="S2200" s="4"/>
      <c r="T2200" s="4"/>
      <c r="U2200" s="4"/>
      <c r="V2200" s="4"/>
      <c r="W2200" s="4"/>
      <c r="X2200" s="4"/>
      <c r="Y2200" s="4"/>
      <c r="Z2200" s="4"/>
      <c r="AA2200" s="4"/>
      <c r="AB2200" s="5"/>
    </row>
    <row r="2201" spans="1:28" x14ac:dyDescent="0.35">
      <c r="A2201" s="3"/>
      <c r="B2201" s="4"/>
      <c r="C2201" s="4"/>
      <c r="D2201" s="4"/>
      <c r="E2201" s="4"/>
      <c r="F2201" s="4"/>
      <c r="G2201" s="4"/>
      <c r="H2201" s="4"/>
      <c r="I2201" s="4"/>
      <c r="J2201" s="4"/>
      <c r="K2201" s="4"/>
      <c r="L2201" s="4"/>
      <c r="M2201" s="4"/>
      <c r="N2201" s="4"/>
      <c r="O2201" s="4"/>
      <c r="P2201" s="4"/>
      <c r="Q2201" s="4"/>
      <c r="R2201" s="4"/>
      <c r="S2201" s="4"/>
      <c r="T2201" s="4"/>
      <c r="U2201" s="4"/>
      <c r="V2201" s="4"/>
      <c r="W2201" s="4"/>
      <c r="X2201" s="4"/>
      <c r="Y2201" s="4"/>
      <c r="Z2201" s="4"/>
      <c r="AA2201" s="4"/>
      <c r="AB2201" s="5"/>
    </row>
    <row r="2202" spans="1:28" x14ac:dyDescent="0.35">
      <c r="A2202" s="3"/>
      <c r="B2202" s="4"/>
      <c r="C2202" s="4"/>
      <c r="D2202" s="4"/>
      <c r="E2202" s="4"/>
      <c r="F2202" s="4"/>
      <c r="G2202" s="4"/>
      <c r="H2202" s="4"/>
      <c r="I2202" s="4"/>
      <c r="J2202" s="4"/>
      <c r="K2202" s="4"/>
      <c r="L2202" s="4"/>
      <c r="M2202" s="4"/>
      <c r="N2202" s="4"/>
      <c r="O2202" s="4"/>
      <c r="P2202" s="4"/>
      <c r="Q2202" s="4"/>
      <c r="R2202" s="4"/>
      <c r="S2202" s="4"/>
      <c r="T2202" s="4"/>
      <c r="U2202" s="4"/>
      <c r="V2202" s="4"/>
      <c r="W2202" s="4"/>
      <c r="X2202" s="4"/>
      <c r="Y2202" s="4"/>
      <c r="Z2202" s="4"/>
      <c r="AA2202" s="4"/>
      <c r="AB2202" s="5"/>
    </row>
    <row r="2203" spans="1:28" x14ac:dyDescent="0.35">
      <c r="A2203" s="3"/>
      <c r="B2203" s="4"/>
      <c r="C2203" s="4"/>
      <c r="D2203" s="4"/>
      <c r="E2203" s="4"/>
      <c r="F2203" s="4"/>
      <c r="G2203" s="4"/>
      <c r="H2203" s="4"/>
      <c r="I2203" s="4"/>
      <c r="J2203" s="4"/>
      <c r="K2203" s="4"/>
      <c r="L2203" s="4"/>
      <c r="M2203" s="4"/>
      <c r="N2203" s="4"/>
      <c r="O2203" s="4"/>
      <c r="P2203" s="4"/>
      <c r="Q2203" s="4"/>
      <c r="R2203" s="4"/>
      <c r="S2203" s="4"/>
      <c r="T2203" s="4"/>
      <c r="U2203" s="4"/>
      <c r="V2203" s="4"/>
      <c r="W2203" s="4"/>
      <c r="X2203" s="4"/>
      <c r="Y2203" s="4"/>
      <c r="Z2203" s="4"/>
      <c r="AA2203" s="4"/>
      <c r="AB2203" s="5"/>
    </row>
    <row r="2204" spans="1:28" x14ac:dyDescent="0.35">
      <c r="A2204" s="3"/>
      <c r="B2204" s="4"/>
      <c r="C2204" s="4"/>
      <c r="D2204" s="4"/>
      <c r="E2204" s="4"/>
      <c r="F2204" s="4"/>
      <c r="G2204" s="4"/>
      <c r="H2204" s="4"/>
      <c r="I2204" s="4"/>
      <c r="J2204" s="4"/>
      <c r="K2204" s="4"/>
      <c r="L2204" s="4"/>
      <c r="M2204" s="4"/>
      <c r="N2204" s="4"/>
      <c r="O2204" s="4"/>
      <c r="P2204" s="4"/>
      <c r="Q2204" s="4"/>
      <c r="R2204" s="4"/>
      <c r="S2204" s="4"/>
      <c r="T2204" s="4"/>
      <c r="U2204" s="4"/>
      <c r="V2204" s="4"/>
      <c r="W2204" s="4"/>
      <c r="X2204" s="4"/>
      <c r="Y2204" s="4"/>
      <c r="Z2204" s="4"/>
      <c r="AA2204" s="4"/>
      <c r="AB2204" s="5"/>
    </row>
    <row r="2205" spans="1:28" x14ac:dyDescent="0.35">
      <c r="A2205" s="3"/>
      <c r="B2205" s="4"/>
      <c r="C2205" s="4"/>
      <c r="D2205" s="4"/>
      <c r="E2205" s="4"/>
      <c r="F2205" s="4"/>
      <c r="G2205" s="4"/>
      <c r="H2205" s="4"/>
      <c r="I2205" s="4"/>
      <c r="J2205" s="4"/>
      <c r="K2205" s="4"/>
      <c r="L2205" s="4"/>
      <c r="M2205" s="4"/>
      <c r="N2205" s="4"/>
      <c r="O2205" s="4"/>
      <c r="P2205" s="4"/>
      <c r="Q2205" s="4"/>
      <c r="R2205" s="4"/>
      <c r="S2205" s="4"/>
      <c r="T2205" s="4"/>
      <c r="U2205" s="4"/>
      <c r="V2205" s="4"/>
      <c r="W2205" s="4"/>
      <c r="X2205" s="4"/>
      <c r="Y2205" s="4"/>
      <c r="Z2205" s="4"/>
      <c r="AA2205" s="4"/>
      <c r="AB2205" s="5"/>
    </row>
    <row r="2206" spans="1:28" x14ac:dyDescent="0.35">
      <c r="A2206" s="3"/>
      <c r="B2206" s="4"/>
      <c r="C2206" s="4"/>
      <c r="D2206" s="4"/>
      <c r="E2206" s="4"/>
      <c r="F2206" s="4"/>
      <c r="G2206" s="4"/>
      <c r="H2206" s="4"/>
      <c r="I2206" s="4"/>
      <c r="J2206" s="4"/>
      <c r="K2206" s="4"/>
      <c r="L2206" s="4"/>
      <c r="M2206" s="4"/>
      <c r="N2206" s="4"/>
      <c r="O2206" s="4"/>
      <c r="P2206" s="4"/>
      <c r="Q2206" s="4"/>
      <c r="R2206" s="4"/>
      <c r="S2206" s="4"/>
      <c r="T2206" s="4"/>
      <c r="U2206" s="4"/>
      <c r="V2206" s="4"/>
      <c r="W2206" s="4"/>
      <c r="X2206" s="4"/>
      <c r="Y2206" s="4"/>
      <c r="Z2206" s="4"/>
      <c r="AA2206" s="4"/>
      <c r="AB2206" s="5"/>
    </row>
    <row r="2207" spans="1:28" x14ac:dyDescent="0.35">
      <c r="A2207" s="3"/>
      <c r="B2207" s="4"/>
      <c r="C2207" s="4"/>
      <c r="D2207" s="4"/>
      <c r="E2207" s="4"/>
      <c r="F2207" s="4"/>
      <c r="G2207" s="4"/>
      <c r="H2207" s="4"/>
      <c r="I2207" s="4"/>
      <c r="J2207" s="4"/>
      <c r="K2207" s="4"/>
      <c r="L2207" s="4"/>
      <c r="M2207" s="4"/>
      <c r="N2207" s="4"/>
      <c r="O2207" s="4"/>
      <c r="P2207" s="4"/>
      <c r="Q2207" s="4"/>
      <c r="R2207" s="4"/>
      <c r="S2207" s="4"/>
      <c r="T2207" s="4"/>
      <c r="U2207" s="4"/>
      <c r="V2207" s="4"/>
      <c r="W2207" s="4"/>
      <c r="X2207" s="4"/>
      <c r="Y2207" s="4"/>
      <c r="Z2207" s="4"/>
      <c r="AA2207" s="4"/>
      <c r="AB2207" s="5"/>
    </row>
    <row r="2208" spans="1:28" x14ac:dyDescent="0.35">
      <c r="A2208" s="3"/>
      <c r="B2208" s="4"/>
      <c r="C2208" s="4"/>
      <c r="D2208" s="4"/>
      <c r="E2208" s="4"/>
      <c r="F2208" s="4"/>
      <c r="G2208" s="4"/>
      <c r="H2208" s="4"/>
      <c r="I2208" s="4"/>
      <c r="J2208" s="4"/>
      <c r="K2208" s="4"/>
      <c r="L2208" s="4"/>
      <c r="M2208" s="4"/>
      <c r="N2208" s="4"/>
      <c r="O2208" s="4"/>
      <c r="P2208" s="4"/>
      <c r="Q2208" s="4"/>
      <c r="R2208" s="4"/>
      <c r="S2208" s="4"/>
      <c r="T2208" s="4"/>
      <c r="U2208" s="4"/>
      <c r="V2208" s="4"/>
      <c r="W2208" s="4"/>
      <c r="X2208" s="4"/>
      <c r="Y2208" s="4"/>
      <c r="Z2208" s="4"/>
      <c r="AA2208" s="4"/>
      <c r="AB2208" s="5"/>
    </row>
    <row r="2209" spans="1:28" x14ac:dyDescent="0.35">
      <c r="A2209" s="3"/>
      <c r="B2209" s="4"/>
      <c r="C2209" s="4"/>
      <c r="D2209" s="4"/>
      <c r="E2209" s="4"/>
      <c r="F2209" s="4"/>
      <c r="G2209" s="4"/>
      <c r="H2209" s="4"/>
      <c r="I2209" s="4"/>
      <c r="J2209" s="4"/>
      <c r="K2209" s="4"/>
      <c r="L2209" s="4"/>
      <c r="M2209" s="4"/>
      <c r="N2209" s="4"/>
      <c r="O2209" s="4"/>
      <c r="P2209" s="4"/>
      <c r="Q2209" s="4"/>
      <c r="R2209" s="4"/>
      <c r="S2209" s="4"/>
      <c r="T2209" s="4"/>
      <c r="U2209" s="4"/>
      <c r="V2209" s="4"/>
      <c r="W2209" s="4"/>
      <c r="X2209" s="4"/>
      <c r="Y2209" s="4"/>
      <c r="Z2209" s="4"/>
      <c r="AA2209" s="4"/>
      <c r="AB2209" s="5"/>
    </row>
    <row r="2210" spans="1:28" x14ac:dyDescent="0.35">
      <c r="A2210" s="3"/>
      <c r="B2210" s="4"/>
      <c r="C2210" s="4"/>
      <c r="D2210" s="4"/>
      <c r="E2210" s="4"/>
      <c r="F2210" s="4"/>
      <c r="G2210" s="4"/>
      <c r="H2210" s="4"/>
      <c r="I2210" s="4"/>
      <c r="J2210" s="4"/>
      <c r="K2210" s="4"/>
      <c r="L2210" s="4"/>
      <c r="M2210" s="4"/>
      <c r="N2210" s="4"/>
      <c r="O2210" s="4"/>
      <c r="P2210" s="4"/>
      <c r="Q2210" s="4"/>
      <c r="R2210" s="4"/>
      <c r="S2210" s="4"/>
      <c r="T2210" s="4"/>
      <c r="U2210" s="4"/>
      <c r="V2210" s="4"/>
      <c r="W2210" s="4"/>
      <c r="X2210" s="4"/>
      <c r="Y2210" s="4"/>
      <c r="Z2210" s="4"/>
      <c r="AA2210" s="4"/>
      <c r="AB2210" s="5"/>
    </row>
    <row r="2211" spans="1:28" x14ac:dyDescent="0.35">
      <c r="A2211" s="3"/>
      <c r="B2211" s="4"/>
      <c r="C2211" s="4"/>
      <c r="D2211" s="4"/>
      <c r="E2211" s="4"/>
      <c r="F2211" s="4"/>
      <c r="G2211" s="4"/>
      <c r="H2211" s="4"/>
      <c r="I2211" s="4"/>
      <c r="J2211" s="4"/>
      <c r="K2211" s="4"/>
      <c r="L2211" s="4"/>
      <c r="M2211" s="4"/>
      <c r="N2211" s="4"/>
      <c r="O2211" s="4"/>
      <c r="P2211" s="4"/>
      <c r="Q2211" s="4"/>
      <c r="R2211" s="4"/>
      <c r="S2211" s="4"/>
      <c r="T2211" s="4"/>
      <c r="U2211" s="4"/>
      <c r="V2211" s="4"/>
      <c r="W2211" s="4"/>
      <c r="X2211" s="4"/>
      <c r="Y2211" s="4"/>
      <c r="Z2211" s="4"/>
      <c r="AA2211" s="4"/>
      <c r="AB2211" s="5"/>
    </row>
    <row r="2212" spans="1:28" x14ac:dyDescent="0.35">
      <c r="A2212" s="3"/>
      <c r="B2212" s="4"/>
      <c r="C2212" s="4"/>
      <c r="D2212" s="4"/>
      <c r="E2212" s="4"/>
      <c r="F2212" s="4"/>
      <c r="G2212" s="4"/>
      <c r="H2212" s="4"/>
      <c r="I2212" s="4"/>
      <c r="J2212" s="4"/>
      <c r="K2212" s="4"/>
      <c r="L2212" s="4"/>
      <c r="M2212" s="4"/>
      <c r="N2212" s="4"/>
      <c r="O2212" s="4"/>
      <c r="P2212" s="4"/>
      <c r="Q2212" s="4"/>
      <c r="R2212" s="4"/>
      <c r="S2212" s="4"/>
      <c r="T2212" s="4"/>
      <c r="U2212" s="4"/>
      <c r="V2212" s="4"/>
      <c r="W2212" s="4"/>
      <c r="X2212" s="4"/>
      <c r="Y2212" s="4"/>
      <c r="Z2212" s="4"/>
      <c r="AA2212" s="4"/>
      <c r="AB2212" s="5"/>
    </row>
    <row r="2213" spans="1:28" x14ac:dyDescent="0.35">
      <c r="A2213" s="3"/>
      <c r="B2213" s="4"/>
      <c r="C2213" s="4"/>
      <c r="D2213" s="4"/>
      <c r="E2213" s="4"/>
      <c r="F2213" s="4"/>
      <c r="G2213" s="4"/>
      <c r="H2213" s="4"/>
      <c r="I2213" s="4"/>
      <c r="J2213" s="4"/>
      <c r="K2213" s="4"/>
      <c r="L2213" s="4"/>
      <c r="M2213" s="4"/>
      <c r="N2213" s="4"/>
      <c r="O2213" s="4"/>
      <c r="P2213" s="4"/>
      <c r="Q2213" s="4"/>
      <c r="R2213" s="4"/>
      <c r="S2213" s="4"/>
      <c r="T2213" s="4"/>
      <c r="U2213" s="4"/>
      <c r="V2213" s="4"/>
      <c r="W2213" s="4"/>
      <c r="X2213" s="4"/>
      <c r="Y2213" s="4"/>
      <c r="Z2213" s="4"/>
      <c r="AA2213" s="4"/>
      <c r="AB2213" s="5"/>
    </row>
    <row r="2214" spans="1:28" x14ac:dyDescent="0.35">
      <c r="A2214" s="3"/>
      <c r="B2214" s="4"/>
      <c r="C2214" s="4"/>
      <c r="D2214" s="4"/>
      <c r="E2214" s="4"/>
      <c r="F2214" s="4"/>
      <c r="G2214" s="4"/>
      <c r="H2214" s="4"/>
      <c r="I2214" s="4"/>
      <c r="J2214" s="4"/>
      <c r="K2214" s="4"/>
      <c r="L2214" s="4"/>
      <c r="M2214" s="4"/>
      <c r="N2214" s="4"/>
      <c r="O2214" s="4"/>
      <c r="P2214" s="4"/>
      <c r="Q2214" s="4"/>
      <c r="R2214" s="4"/>
      <c r="S2214" s="4"/>
      <c r="T2214" s="4"/>
      <c r="U2214" s="4"/>
      <c r="V2214" s="4"/>
      <c r="W2214" s="4"/>
      <c r="X2214" s="4"/>
      <c r="Y2214" s="4"/>
      <c r="Z2214" s="4"/>
      <c r="AA2214" s="4"/>
      <c r="AB2214" s="5"/>
    </row>
    <row r="2215" spans="1:28" x14ac:dyDescent="0.35">
      <c r="A2215" s="3"/>
      <c r="B2215" s="4"/>
      <c r="C2215" s="4"/>
      <c r="D2215" s="4"/>
      <c r="E2215" s="4"/>
      <c r="F2215" s="4"/>
      <c r="G2215" s="4"/>
      <c r="H2215" s="4"/>
      <c r="I2215" s="4"/>
      <c r="J2215" s="4"/>
      <c r="K2215" s="4"/>
      <c r="L2215" s="4"/>
      <c r="M2215" s="4"/>
      <c r="N2215" s="4"/>
      <c r="O2215" s="4"/>
      <c r="P2215" s="4"/>
      <c r="Q2215" s="4"/>
      <c r="R2215" s="4"/>
      <c r="S2215" s="4"/>
      <c r="T2215" s="4"/>
      <c r="U2215" s="4"/>
      <c r="V2215" s="4"/>
      <c r="W2215" s="4"/>
      <c r="X2215" s="4"/>
      <c r="Y2215" s="4"/>
      <c r="Z2215" s="4"/>
      <c r="AA2215" s="4"/>
      <c r="AB2215" s="5"/>
    </row>
    <row r="2216" spans="1:28" x14ac:dyDescent="0.35">
      <c r="A2216" s="3"/>
      <c r="B2216" s="4"/>
      <c r="C2216" s="4"/>
      <c r="D2216" s="4"/>
      <c r="E2216" s="4"/>
      <c r="F2216" s="4"/>
      <c r="G2216" s="4"/>
      <c r="H2216" s="4"/>
      <c r="I2216" s="4"/>
      <c r="J2216" s="4"/>
      <c r="K2216" s="4"/>
      <c r="L2216" s="4"/>
      <c r="M2216" s="4"/>
      <c r="N2216" s="4"/>
      <c r="O2216" s="4"/>
      <c r="P2216" s="4"/>
      <c r="Q2216" s="4"/>
      <c r="R2216" s="4"/>
      <c r="S2216" s="4"/>
      <c r="T2216" s="4"/>
      <c r="U2216" s="4"/>
      <c r="V2216" s="4"/>
      <c r="W2216" s="4"/>
      <c r="X2216" s="4"/>
      <c r="Y2216" s="4"/>
      <c r="Z2216" s="4"/>
      <c r="AA2216" s="4"/>
      <c r="AB2216" s="5"/>
    </row>
    <row r="2217" spans="1:28" x14ac:dyDescent="0.35">
      <c r="A2217" s="3"/>
      <c r="B2217" s="4"/>
      <c r="C2217" s="4"/>
      <c r="D2217" s="4"/>
      <c r="E2217" s="4"/>
      <c r="F2217" s="4"/>
      <c r="G2217" s="4"/>
      <c r="H2217" s="4"/>
      <c r="I2217" s="4"/>
      <c r="J2217" s="4"/>
      <c r="K2217" s="4"/>
      <c r="L2217" s="4"/>
      <c r="M2217" s="4"/>
      <c r="N2217" s="4"/>
      <c r="O2217" s="4"/>
      <c r="P2217" s="4"/>
      <c r="Q2217" s="4"/>
      <c r="R2217" s="4"/>
      <c r="S2217" s="4"/>
      <c r="T2217" s="4"/>
      <c r="U2217" s="4"/>
      <c r="V2217" s="4"/>
      <c r="W2217" s="4"/>
      <c r="X2217" s="4"/>
      <c r="Y2217" s="4"/>
      <c r="Z2217" s="4"/>
      <c r="AA2217" s="4"/>
      <c r="AB2217" s="5"/>
    </row>
    <row r="2218" spans="1:28" x14ac:dyDescent="0.35">
      <c r="A2218" s="3"/>
      <c r="B2218" s="4"/>
      <c r="C2218" s="4"/>
      <c r="D2218" s="4"/>
      <c r="E2218" s="4"/>
      <c r="F2218" s="4"/>
      <c r="G2218" s="4"/>
      <c r="H2218" s="4"/>
      <c r="I2218" s="4"/>
      <c r="J2218" s="4"/>
      <c r="K2218" s="4"/>
      <c r="L2218" s="4"/>
      <c r="M2218" s="4"/>
      <c r="N2218" s="4"/>
      <c r="O2218" s="4"/>
      <c r="P2218" s="4"/>
      <c r="Q2218" s="4"/>
      <c r="R2218" s="4"/>
      <c r="S2218" s="4"/>
      <c r="T2218" s="4"/>
      <c r="U2218" s="4"/>
      <c r="V2218" s="4"/>
      <c r="W2218" s="4"/>
      <c r="X2218" s="4"/>
      <c r="Y2218" s="4"/>
      <c r="Z2218" s="4"/>
      <c r="AA2218" s="4"/>
      <c r="AB2218" s="5"/>
    </row>
    <row r="2219" spans="1:28" x14ac:dyDescent="0.35">
      <c r="A2219" s="3"/>
      <c r="B2219" s="4"/>
      <c r="C2219" s="4"/>
      <c r="D2219" s="4"/>
      <c r="E2219" s="4"/>
      <c r="F2219" s="4"/>
      <c r="G2219" s="4"/>
      <c r="H2219" s="4"/>
      <c r="I2219" s="4"/>
      <c r="J2219" s="4"/>
      <c r="K2219" s="4"/>
      <c r="L2219" s="4"/>
      <c r="M2219" s="4"/>
      <c r="N2219" s="4"/>
      <c r="O2219" s="4"/>
      <c r="P2219" s="4"/>
      <c r="Q2219" s="4"/>
      <c r="R2219" s="4"/>
      <c r="S2219" s="4"/>
      <c r="T2219" s="4"/>
      <c r="U2219" s="4"/>
      <c r="V2219" s="4"/>
      <c r="W2219" s="4"/>
      <c r="X2219" s="4"/>
      <c r="Y2219" s="4"/>
      <c r="Z2219" s="4"/>
      <c r="AA2219" s="4"/>
      <c r="AB2219" s="5"/>
    </row>
    <row r="2220" spans="1:28" x14ac:dyDescent="0.35">
      <c r="A2220" s="3"/>
      <c r="B2220" s="4"/>
      <c r="C2220" s="4"/>
      <c r="D2220" s="4"/>
      <c r="E2220" s="4"/>
      <c r="F2220" s="4"/>
      <c r="G2220" s="4"/>
      <c r="H2220" s="4"/>
      <c r="I2220" s="4"/>
      <c r="J2220" s="4"/>
      <c r="K2220" s="4"/>
      <c r="L2220" s="4"/>
      <c r="M2220" s="4"/>
      <c r="N2220" s="4"/>
      <c r="O2220" s="4"/>
      <c r="P2220" s="4"/>
      <c r="Q2220" s="4"/>
      <c r="R2220" s="4"/>
      <c r="S2220" s="4"/>
      <c r="T2220" s="4"/>
      <c r="U2220" s="4"/>
      <c r="V2220" s="4"/>
      <c r="W2220" s="4"/>
      <c r="X2220" s="4"/>
      <c r="Y2220" s="4"/>
      <c r="Z2220" s="4"/>
      <c r="AA2220" s="4"/>
      <c r="AB2220" s="5"/>
    </row>
    <row r="2221" spans="1:28" x14ac:dyDescent="0.35">
      <c r="A2221" s="3"/>
      <c r="B2221" s="4"/>
      <c r="C2221" s="4"/>
      <c r="D2221" s="4"/>
      <c r="E2221" s="4"/>
      <c r="F2221" s="4"/>
      <c r="G2221" s="4"/>
      <c r="H2221" s="4"/>
      <c r="I2221" s="4"/>
      <c r="J2221" s="4"/>
      <c r="K2221" s="4"/>
      <c r="L2221" s="4"/>
      <c r="M2221" s="4"/>
      <c r="N2221" s="4"/>
      <c r="O2221" s="4"/>
      <c r="P2221" s="4"/>
      <c r="Q2221" s="4"/>
      <c r="R2221" s="4"/>
      <c r="S2221" s="4"/>
      <c r="T2221" s="4"/>
      <c r="U2221" s="4"/>
      <c r="V2221" s="4"/>
      <c r="W2221" s="4"/>
      <c r="X2221" s="4"/>
      <c r="Y2221" s="4"/>
      <c r="Z2221" s="4"/>
      <c r="AA2221" s="4"/>
      <c r="AB2221" s="5"/>
    </row>
    <row r="2222" spans="1:28" x14ac:dyDescent="0.35">
      <c r="A2222" s="3"/>
      <c r="B2222" s="4"/>
      <c r="C2222" s="4"/>
      <c r="D2222" s="4"/>
      <c r="E2222" s="4"/>
      <c r="F2222" s="4"/>
      <c r="G2222" s="4"/>
      <c r="H2222" s="4"/>
      <c r="I2222" s="4"/>
      <c r="J2222" s="4"/>
      <c r="K2222" s="4"/>
      <c r="L2222" s="4"/>
      <c r="M2222" s="4"/>
      <c r="N2222" s="4"/>
      <c r="O2222" s="4"/>
      <c r="P2222" s="4"/>
      <c r="Q2222" s="4"/>
      <c r="R2222" s="4"/>
      <c r="S2222" s="4"/>
      <c r="T2222" s="4"/>
      <c r="U2222" s="4"/>
      <c r="V2222" s="4"/>
      <c r="W2222" s="4"/>
      <c r="X2222" s="4"/>
      <c r="Y2222" s="4"/>
      <c r="Z2222" s="4"/>
      <c r="AA2222" s="4"/>
      <c r="AB2222" s="5"/>
    </row>
    <row r="2223" spans="1:28" x14ac:dyDescent="0.35">
      <c r="A2223" s="3"/>
      <c r="B2223" s="4"/>
      <c r="C2223" s="4"/>
      <c r="D2223" s="4"/>
      <c r="E2223" s="4"/>
      <c r="F2223" s="4"/>
      <c r="G2223" s="4"/>
      <c r="H2223" s="4"/>
      <c r="I2223" s="4"/>
      <c r="J2223" s="4"/>
      <c r="K2223" s="4"/>
      <c r="L2223" s="4"/>
      <c r="M2223" s="4"/>
      <c r="N2223" s="4"/>
      <c r="O2223" s="4"/>
      <c r="P2223" s="4"/>
      <c r="Q2223" s="4"/>
      <c r="R2223" s="4"/>
      <c r="S2223" s="4"/>
      <c r="T2223" s="4"/>
      <c r="U2223" s="4"/>
      <c r="V2223" s="4"/>
      <c r="W2223" s="4"/>
      <c r="X2223" s="4"/>
      <c r="Y2223" s="4"/>
      <c r="Z2223" s="4"/>
      <c r="AA2223" s="4"/>
      <c r="AB2223" s="5"/>
    </row>
    <row r="2224" spans="1:28" x14ac:dyDescent="0.35">
      <c r="A2224" s="3"/>
      <c r="B2224" s="4"/>
      <c r="C2224" s="4"/>
      <c r="D2224" s="4"/>
      <c r="E2224" s="4"/>
      <c r="F2224" s="4"/>
      <c r="G2224" s="4"/>
      <c r="H2224" s="4"/>
      <c r="I2224" s="4"/>
      <c r="J2224" s="4"/>
      <c r="K2224" s="4"/>
      <c r="L2224" s="4"/>
      <c r="M2224" s="4"/>
      <c r="N2224" s="4"/>
      <c r="O2224" s="4"/>
      <c r="P2224" s="4"/>
      <c r="Q2224" s="4"/>
      <c r="R2224" s="4"/>
      <c r="S2224" s="4"/>
      <c r="T2224" s="4"/>
      <c r="U2224" s="4"/>
      <c r="V2224" s="4"/>
      <c r="W2224" s="4"/>
      <c r="X2224" s="4"/>
      <c r="Y2224" s="4"/>
      <c r="Z2224" s="4"/>
      <c r="AA2224" s="4"/>
      <c r="AB2224" s="5"/>
    </row>
    <row r="2225" spans="1:28" x14ac:dyDescent="0.35">
      <c r="A2225" s="3"/>
      <c r="B2225" s="4"/>
      <c r="C2225" s="4"/>
      <c r="D2225" s="4"/>
      <c r="E2225" s="4"/>
      <c r="F2225" s="4"/>
      <c r="G2225" s="4"/>
      <c r="H2225" s="4"/>
      <c r="I2225" s="4"/>
      <c r="J2225" s="4"/>
      <c r="K2225" s="4"/>
      <c r="L2225" s="4"/>
      <c r="M2225" s="4"/>
      <c r="N2225" s="4"/>
      <c r="O2225" s="4"/>
      <c r="P2225" s="4"/>
      <c r="Q2225" s="4"/>
      <c r="R2225" s="4"/>
      <c r="S2225" s="4"/>
      <c r="T2225" s="4"/>
      <c r="U2225" s="4"/>
      <c r="V2225" s="4"/>
      <c r="W2225" s="4"/>
      <c r="X2225" s="4"/>
      <c r="Y2225" s="4"/>
      <c r="Z2225" s="4"/>
      <c r="AA2225" s="4"/>
      <c r="AB2225" s="5"/>
    </row>
    <row r="2226" spans="1:28" x14ac:dyDescent="0.35">
      <c r="A2226" s="3"/>
      <c r="B2226" s="4"/>
      <c r="C2226" s="4"/>
      <c r="D2226" s="4"/>
      <c r="E2226" s="4"/>
      <c r="F2226" s="4"/>
      <c r="G2226" s="4"/>
      <c r="H2226" s="4"/>
      <c r="I2226" s="4"/>
      <c r="J2226" s="4"/>
      <c r="K2226" s="4"/>
      <c r="L2226" s="4"/>
      <c r="M2226" s="4"/>
      <c r="N2226" s="4"/>
      <c r="O2226" s="4"/>
      <c r="P2226" s="4"/>
      <c r="Q2226" s="4"/>
      <c r="R2226" s="4"/>
      <c r="S2226" s="4"/>
      <c r="T2226" s="4"/>
      <c r="U2226" s="4"/>
      <c r="V2226" s="4"/>
      <c r="W2226" s="4"/>
      <c r="X2226" s="4"/>
      <c r="Y2226" s="4"/>
      <c r="Z2226" s="4"/>
      <c r="AA2226" s="4"/>
      <c r="AB2226" s="5"/>
    </row>
    <row r="2227" spans="1:28" x14ac:dyDescent="0.35">
      <c r="A2227" s="3"/>
      <c r="B2227" s="4"/>
      <c r="C2227" s="4"/>
      <c r="D2227" s="4"/>
      <c r="E2227" s="4"/>
      <c r="F2227" s="4"/>
      <c r="G2227" s="4"/>
      <c r="H2227" s="4"/>
      <c r="I2227" s="4"/>
      <c r="J2227" s="4"/>
      <c r="K2227" s="4"/>
      <c r="L2227" s="4"/>
      <c r="M2227" s="4"/>
      <c r="N2227" s="4"/>
      <c r="O2227" s="4"/>
      <c r="P2227" s="4"/>
      <c r="Q2227" s="4"/>
      <c r="R2227" s="4"/>
      <c r="S2227" s="4"/>
      <c r="T2227" s="4"/>
      <c r="U2227" s="4"/>
      <c r="V2227" s="4"/>
      <c r="W2227" s="4"/>
      <c r="X2227" s="4"/>
      <c r="Y2227" s="4"/>
      <c r="Z2227" s="4"/>
      <c r="AA2227" s="4"/>
      <c r="AB2227" s="5"/>
    </row>
    <row r="2228" spans="1:28" x14ac:dyDescent="0.35">
      <c r="A2228" s="3"/>
      <c r="B2228" s="4"/>
      <c r="C2228" s="4"/>
      <c r="D2228" s="4"/>
      <c r="E2228" s="4"/>
      <c r="F2228" s="4"/>
      <c r="G2228" s="4"/>
      <c r="H2228" s="4"/>
      <c r="I2228" s="4"/>
      <c r="J2228" s="4"/>
      <c r="K2228" s="4"/>
      <c r="L2228" s="4"/>
      <c r="M2228" s="4"/>
      <c r="N2228" s="4"/>
      <c r="O2228" s="4"/>
      <c r="P2228" s="4"/>
      <c r="Q2228" s="4"/>
      <c r="R2228" s="4"/>
      <c r="S2228" s="4"/>
      <c r="T2228" s="4"/>
      <c r="U2228" s="4"/>
      <c r="V2228" s="4"/>
      <c r="W2228" s="4"/>
      <c r="X2228" s="4"/>
      <c r="Y2228" s="4"/>
      <c r="Z2228" s="4"/>
      <c r="AA2228" s="4"/>
      <c r="AB2228" s="5"/>
    </row>
    <row r="2229" spans="1:28" x14ac:dyDescent="0.35">
      <c r="A2229" s="3"/>
      <c r="B2229" s="4"/>
      <c r="C2229" s="4"/>
      <c r="D2229" s="4"/>
      <c r="E2229" s="4"/>
      <c r="F2229" s="4"/>
      <c r="G2229" s="4"/>
      <c r="H2229" s="4"/>
      <c r="I2229" s="4"/>
      <c r="J2229" s="4"/>
      <c r="K2229" s="4"/>
      <c r="L2229" s="4"/>
      <c r="M2229" s="4"/>
      <c r="N2229" s="4"/>
      <c r="O2229" s="4"/>
      <c r="P2229" s="4"/>
      <c r="Q2229" s="4"/>
      <c r="R2229" s="4"/>
      <c r="S2229" s="4"/>
      <c r="T2229" s="4"/>
      <c r="U2229" s="4"/>
      <c r="V2229" s="4"/>
      <c r="W2229" s="4"/>
      <c r="X2229" s="4"/>
      <c r="Y2229" s="4"/>
      <c r="Z2229" s="4"/>
      <c r="AA2229" s="4"/>
      <c r="AB2229" s="5"/>
    </row>
    <row r="2230" spans="1:28" x14ac:dyDescent="0.35">
      <c r="A2230" s="3"/>
      <c r="B2230" s="4"/>
      <c r="C2230" s="4"/>
      <c r="D2230" s="4"/>
      <c r="E2230" s="4"/>
      <c r="F2230" s="4"/>
      <c r="G2230" s="4"/>
      <c r="H2230" s="4"/>
      <c r="I2230" s="4"/>
      <c r="J2230" s="4"/>
      <c r="K2230" s="4"/>
      <c r="L2230" s="4"/>
      <c r="M2230" s="4"/>
      <c r="N2230" s="4"/>
      <c r="O2230" s="4"/>
      <c r="P2230" s="4"/>
      <c r="Q2230" s="4"/>
      <c r="R2230" s="4"/>
      <c r="S2230" s="4"/>
      <c r="T2230" s="4"/>
      <c r="U2230" s="4"/>
      <c r="V2230" s="4"/>
      <c r="W2230" s="4"/>
      <c r="X2230" s="4"/>
      <c r="Y2230" s="4"/>
      <c r="Z2230" s="4"/>
      <c r="AA2230" s="4"/>
      <c r="AB2230" s="5"/>
    </row>
    <row r="2231" spans="1:28" x14ac:dyDescent="0.35">
      <c r="A2231" s="3"/>
      <c r="B2231" s="4"/>
      <c r="C2231" s="4"/>
      <c r="D2231" s="4"/>
      <c r="E2231" s="4"/>
      <c r="F2231" s="4"/>
      <c r="G2231" s="4"/>
      <c r="H2231" s="4"/>
      <c r="I2231" s="4"/>
      <c r="J2231" s="4"/>
      <c r="K2231" s="4"/>
      <c r="L2231" s="4"/>
      <c r="M2231" s="4"/>
      <c r="N2231" s="4"/>
      <c r="O2231" s="4"/>
      <c r="P2231" s="4"/>
      <c r="Q2231" s="4"/>
      <c r="R2231" s="4"/>
      <c r="S2231" s="4"/>
      <c r="T2231" s="4"/>
      <c r="U2231" s="4"/>
      <c r="V2231" s="4"/>
      <c r="W2231" s="4"/>
      <c r="X2231" s="4"/>
      <c r="Y2231" s="4"/>
      <c r="Z2231" s="4"/>
      <c r="AA2231" s="4"/>
      <c r="AB2231" s="5"/>
    </row>
    <row r="2232" spans="1:28" x14ac:dyDescent="0.35">
      <c r="A2232" s="3"/>
      <c r="B2232" s="4"/>
      <c r="C2232" s="4"/>
      <c r="D2232" s="4"/>
      <c r="E2232" s="4"/>
      <c r="F2232" s="4"/>
      <c r="G2232" s="4"/>
      <c r="H2232" s="4"/>
      <c r="I2232" s="4"/>
      <c r="J2232" s="4"/>
      <c r="K2232" s="4"/>
      <c r="L2232" s="4"/>
      <c r="M2232" s="4"/>
      <c r="N2232" s="4"/>
      <c r="O2232" s="4"/>
      <c r="P2232" s="4"/>
      <c r="Q2232" s="4"/>
      <c r="R2232" s="4"/>
      <c r="S2232" s="4"/>
      <c r="T2232" s="4"/>
      <c r="U2232" s="4"/>
      <c r="V2232" s="4"/>
      <c r="W2232" s="4"/>
      <c r="X2232" s="4"/>
      <c r="Y2232" s="4"/>
      <c r="Z2232" s="4"/>
      <c r="AA2232" s="4"/>
      <c r="AB2232" s="5"/>
    </row>
    <row r="2233" spans="1:28" x14ac:dyDescent="0.35">
      <c r="A2233" s="3"/>
      <c r="B2233" s="4"/>
      <c r="C2233" s="4"/>
      <c r="D2233" s="4"/>
      <c r="E2233" s="4"/>
      <c r="F2233" s="4"/>
      <c r="G2233" s="4"/>
      <c r="H2233" s="4"/>
      <c r="I2233" s="4"/>
      <c r="J2233" s="4"/>
      <c r="K2233" s="4"/>
      <c r="L2233" s="4"/>
      <c r="M2233" s="4"/>
      <c r="N2233" s="4"/>
      <c r="O2233" s="4"/>
      <c r="P2233" s="4"/>
      <c r="Q2233" s="4"/>
      <c r="R2233" s="4"/>
      <c r="S2233" s="4"/>
      <c r="T2233" s="4"/>
      <c r="U2233" s="4"/>
      <c r="V2233" s="4"/>
      <c r="W2233" s="4"/>
      <c r="X2233" s="4"/>
      <c r="Y2233" s="4"/>
      <c r="Z2233" s="4"/>
      <c r="AA2233" s="4"/>
      <c r="AB2233" s="5"/>
    </row>
    <row r="2234" spans="1:28" x14ac:dyDescent="0.35">
      <c r="A2234" s="3"/>
      <c r="B2234" s="4"/>
      <c r="C2234" s="4"/>
      <c r="D2234" s="4"/>
      <c r="E2234" s="4"/>
      <c r="F2234" s="4"/>
      <c r="G2234" s="4"/>
      <c r="H2234" s="4"/>
      <c r="I2234" s="4"/>
      <c r="J2234" s="4"/>
      <c r="K2234" s="4"/>
      <c r="L2234" s="4"/>
      <c r="M2234" s="4"/>
      <c r="N2234" s="4"/>
      <c r="O2234" s="4"/>
      <c r="P2234" s="4"/>
      <c r="Q2234" s="4"/>
      <c r="R2234" s="4"/>
      <c r="S2234" s="4"/>
      <c r="T2234" s="4"/>
      <c r="U2234" s="4"/>
      <c r="V2234" s="4"/>
      <c r="W2234" s="4"/>
      <c r="X2234" s="4"/>
      <c r="Y2234" s="4"/>
      <c r="Z2234" s="4"/>
      <c r="AA2234" s="4"/>
      <c r="AB2234" s="5"/>
    </row>
    <row r="2235" spans="1:28" x14ac:dyDescent="0.35">
      <c r="A2235" s="3"/>
      <c r="B2235" s="4"/>
      <c r="C2235" s="4"/>
      <c r="D2235" s="4"/>
      <c r="E2235" s="4"/>
      <c r="F2235" s="4"/>
      <c r="G2235" s="4"/>
      <c r="H2235" s="4"/>
      <c r="I2235" s="4"/>
      <c r="J2235" s="4"/>
      <c r="K2235" s="4"/>
      <c r="L2235" s="4"/>
      <c r="M2235" s="4"/>
      <c r="N2235" s="4"/>
      <c r="O2235" s="4"/>
      <c r="P2235" s="4"/>
      <c r="Q2235" s="4"/>
      <c r="R2235" s="4"/>
      <c r="S2235" s="4"/>
      <c r="T2235" s="4"/>
      <c r="U2235" s="4"/>
      <c r="V2235" s="4"/>
      <c r="W2235" s="4"/>
      <c r="X2235" s="4"/>
      <c r="Y2235" s="4"/>
      <c r="Z2235" s="4"/>
      <c r="AA2235" s="4"/>
      <c r="AB2235" s="5"/>
    </row>
    <row r="2236" spans="1:28" x14ac:dyDescent="0.35">
      <c r="A2236" s="3"/>
      <c r="B2236" s="4"/>
      <c r="C2236" s="4"/>
      <c r="D2236" s="4"/>
      <c r="E2236" s="4"/>
      <c r="F2236" s="4"/>
      <c r="G2236" s="4"/>
      <c r="H2236" s="4"/>
      <c r="I2236" s="4"/>
      <c r="J2236" s="4"/>
      <c r="K2236" s="4"/>
      <c r="L2236" s="4"/>
      <c r="M2236" s="4"/>
      <c r="N2236" s="4"/>
      <c r="O2236" s="4"/>
      <c r="P2236" s="4"/>
      <c r="Q2236" s="4"/>
      <c r="R2236" s="4"/>
      <c r="S2236" s="4"/>
      <c r="T2236" s="4"/>
      <c r="U2236" s="4"/>
      <c r="V2236" s="4"/>
      <c r="W2236" s="4"/>
      <c r="X2236" s="4"/>
      <c r="Y2236" s="4"/>
      <c r="Z2236" s="4"/>
      <c r="AA2236" s="4"/>
      <c r="AB2236" s="5"/>
    </row>
    <row r="2237" spans="1:28" x14ac:dyDescent="0.35">
      <c r="A2237" s="3"/>
      <c r="B2237" s="4"/>
      <c r="C2237" s="4"/>
      <c r="D2237" s="4"/>
      <c r="E2237" s="4"/>
      <c r="F2237" s="4"/>
      <c r="G2237" s="4"/>
      <c r="H2237" s="4"/>
      <c r="I2237" s="4"/>
      <c r="J2237" s="4"/>
      <c r="K2237" s="4"/>
      <c r="L2237" s="4"/>
      <c r="M2237" s="4"/>
      <c r="N2237" s="4"/>
      <c r="O2237" s="4"/>
      <c r="P2237" s="4"/>
      <c r="Q2237" s="4"/>
      <c r="R2237" s="4"/>
      <c r="S2237" s="4"/>
      <c r="T2237" s="4"/>
      <c r="U2237" s="4"/>
      <c r="V2237" s="4"/>
      <c r="W2237" s="4"/>
      <c r="X2237" s="4"/>
      <c r="Y2237" s="4"/>
      <c r="Z2237" s="4"/>
      <c r="AA2237" s="4"/>
      <c r="AB2237" s="5"/>
    </row>
    <row r="2238" spans="1:28" x14ac:dyDescent="0.35">
      <c r="A2238" s="3"/>
      <c r="B2238" s="4"/>
      <c r="C2238" s="4"/>
      <c r="D2238" s="4"/>
      <c r="E2238" s="4"/>
      <c r="F2238" s="4"/>
      <c r="G2238" s="4"/>
      <c r="H2238" s="4"/>
      <c r="I2238" s="4"/>
      <c r="J2238" s="4"/>
      <c r="K2238" s="4"/>
      <c r="L2238" s="4"/>
      <c r="M2238" s="4"/>
      <c r="N2238" s="4"/>
      <c r="O2238" s="4"/>
      <c r="P2238" s="4"/>
      <c r="Q2238" s="4"/>
      <c r="R2238" s="4"/>
      <c r="S2238" s="4"/>
      <c r="T2238" s="4"/>
      <c r="U2238" s="4"/>
      <c r="V2238" s="4"/>
      <c r="W2238" s="4"/>
      <c r="X2238" s="4"/>
      <c r="Y2238" s="4"/>
      <c r="Z2238" s="4"/>
      <c r="AA2238" s="4"/>
      <c r="AB2238" s="5"/>
    </row>
    <row r="2239" spans="1:28" x14ac:dyDescent="0.35">
      <c r="A2239" s="3"/>
      <c r="B2239" s="4"/>
      <c r="C2239" s="4"/>
      <c r="D2239" s="4"/>
      <c r="E2239" s="4"/>
      <c r="F2239" s="4"/>
      <c r="G2239" s="4"/>
      <c r="H2239" s="4"/>
      <c r="I2239" s="4"/>
      <c r="J2239" s="4"/>
      <c r="K2239" s="4"/>
      <c r="L2239" s="4"/>
      <c r="M2239" s="4"/>
      <c r="N2239" s="4"/>
      <c r="O2239" s="4"/>
      <c r="P2239" s="4"/>
      <c r="Q2239" s="4"/>
      <c r="R2239" s="4"/>
      <c r="S2239" s="4"/>
      <c r="T2239" s="4"/>
      <c r="U2239" s="4"/>
      <c r="V2239" s="4"/>
      <c r="W2239" s="4"/>
      <c r="X2239" s="4"/>
      <c r="Y2239" s="4"/>
      <c r="Z2239" s="4"/>
      <c r="AA2239" s="4"/>
      <c r="AB2239" s="5"/>
    </row>
    <row r="2240" spans="1:28" x14ac:dyDescent="0.35">
      <c r="A2240" s="3"/>
      <c r="B2240" s="4"/>
      <c r="C2240" s="4"/>
      <c r="D2240" s="4"/>
      <c r="E2240" s="4"/>
      <c r="F2240" s="4"/>
      <c r="G2240" s="4"/>
      <c r="H2240" s="4"/>
      <c r="I2240" s="4"/>
      <c r="J2240" s="4"/>
      <c r="K2240" s="4"/>
      <c r="L2240" s="4"/>
      <c r="M2240" s="4"/>
      <c r="N2240" s="4"/>
      <c r="O2240" s="4"/>
      <c r="P2240" s="4"/>
      <c r="Q2240" s="4"/>
      <c r="R2240" s="4"/>
      <c r="S2240" s="4"/>
      <c r="T2240" s="4"/>
      <c r="U2240" s="4"/>
      <c r="V2240" s="4"/>
      <c r="W2240" s="4"/>
      <c r="X2240" s="4"/>
      <c r="Y2240" s="4"/>
      <c r="Z2240" s="4"/>
      <c r="AA2240" s="4"/>
      <c r="AB2240" s="5"/>
    </row>
    <row r="2241" spans="1:28" x14ac:dyDescent="0.35">
      <c r="A2241" s="3"/>
      <c r="B2241" s="4"/>
      <c r="C2241" s="4"/>
      <c r="D2241" s="4"/>
      <c r="E2241" s="4"/>
      <c r="F2241" s="4"/>
      <c r="G2241" s="4"/>
      <c r="H2241" s="4"/>
      <c r="I2241" s="4"/>
      <c r="J2241" s="4"/>
      <c r="K2241" s="4"/>
      <c r="L2241" s="4"/>
      <c r="M2241" s="4"/>
      <c r="N2241" s="4"/>
      <c r="O2241" s="4"/>
      <c r="P2241" s="4"/>
      <c r="Q2241" s="4"/>
      <c r="R2241" s="4"/>
      <c r="S2241" s="4"/>
      <c r="T2241" s="4"/>
      <c r="U2241" s="4"/>
      <c r="V2241" s="4"/>
      <c r="W2241" s="4"/>
      <c r="X2241" s="4"/>
      <c r="Y2241" s="4"/>
      <c r="Z2241" s="4"/>
      <c r="AA2241" s="4"/>
      <c r="AB2241" s="5"/>
    </row>
    <row r="2242" spans="1:28" x14ac:dyDescent="0.35">
      <c r="A2242" s="3"/>
      <c r="B2242" s="4"/>
      <c r="C2242" s="4"/>
      <c r="D2242" s="4"/>
      <c r="E2242" s="4"/>
      <c r="F2242" s="4"/>
      <c r="G2242" s="4"/>
      <c r="H2242" s="4"/>
      <c r="I2242" s="4"/>
      <c r="J2242" s="4"/>
      <c r="K2242" s="4"/>
      <c r="L2242" s="4"/>
      <c r="M2242" s="4"/>
      <c r="N2242" s="4"/>
      <c r="O2242" s="4"/>
      <c r="P2242" s="4"/>
      <c r="Q2242" s="4"/>
      <c r="R2242" s="4"/>
      <c r="S2242" s="4"/>
      <c r="T2242" s="4"/>
      <c r="U2242" s="4"/>
      <c r="V2242" s="4"/>
      <c r="W2242" s="4"/>
      <c r="X2242" s="4"/>
      <c r="Y2242" s="4"/>
      <c r="Z2242" s="4"/>
      <c r="AA2242" s="4"/>
      <c r="AB2242" s="5"/>
    </row>
    <row r="2243" spans="1:28" x14ac:dyDescent="0.35">
      <c r="A2243" s="3"/>
      <c r="B2243" s="4"/>
      <c r="C2243" s="4"/>
      <c r="D2243" s="4"/>
      <c r="E2243" s="4"/>
      <c r="F2243" s="4"/>
      <c r="G2243" s="4"/>
      <c r="H2243" s="4"/>
      <c r="I2243" s="4"/>
      <c r="J2243" s="4"/>
      <c r="K2243" s="4"/>
      <c r="L2243" s="4"/>
      <c r="M2243" s="4"/>
      <c r="N2243" s="4"/>
      <c r="O2243" s="4"/>
      <c r="P2243" s="4"/>
      <c r="Q2243" s="4"/>
      <c r="R2243" s="4"/>
      <c r="S2243" s="4"/>
      <c r="T2243" s="4"/>
      <c r="U2243" s="4"/>
      <c r="V2243" s="4"/>
      <c r="W2243" s="4"/>
      <c r="X2243" s="4"/>
      <c r="Y2243" s="4"/>
      <c r="Z2243" s="4"/>
      <c r="AA2243" s="4"/>
      <c r="AB2243" s="5"/>
    </row>
    <row r="2244" spans="1:28" x14ac:dyDescent="0.35">
      <c r="A2244" s="3"/>
      <c r="B2244" s="4"/>
      <c r="C2244" s="4"/>
      <c r="D2244" s="4"/>
      <c r="E2244" s="4"/>
      <c r="F2244" s="4"/>
      <c r="G2244" s="4"/>
      <c r="H2244" s="4"/>
      <c r="I2244" s="4"/>
      <c r="J2244" s="4"/>
      <c r="K2244" s="4"/>
      <c r="L2244" s="4"/>
      <c r="M2244" s="4"/>
      <c r="N2244" s="4"/>
      <c r="O2244" s="4"/>
      <c r="P2244" s="4"/>
      <c r="Q2244" s="4"/>
      <c r="R2244" s="4"/>
      <c r="S2244" s="4"/>
      <c r="T2244" s="4"/>
      <c r="U2244" s="4"/>
      <c r="V2244" s="4"/>
      <c r="W2244" s="4"/>
      <c r="X2244" s="4"/>
      <c r="Y2244" s="4"/>
      <c r="Z2244" s="4"/>
      <c r="AA2244" s="4"/>
      <c r="AB2244" s="5"/>
    </row>
    <row r="2245" spans="1:28" x14ac:dyDescent="0.35">
      <c r="A2245" s="3"/>
      <c r="B2245" s="4"/>
      <c r="C2245" s="4"/>
      <c r="D2245" s="4"/>
      <c r="E2245" s="4"/>
      <c r="F2245" s="4"/>
      <c r="G2245" s="4"/>
      <c r="H2245" s="4"/>
      <c r="I2245" s="4"/>
      <c r="J2245" s="4"/>
      <c r="K2245" s="4"/>
      <c r="L2245" s="4"/>
      <c r="M2245" s="4"/>
      <c r="N2245" s="4"/>
      <c r="O2245" s="4"/>
      <c r="P2245" s="4"/>
      <c r="Q2245" s="4"/>
      <c r="R2245" s="4"/>
      <c r="S2245" s="4"/>
      <c r="T2245" s="4"/>
      <c r="U2245" s="4"/>
      <c r="V2245" s="4"/>
      <c r="W2245" s="4"/>
      <c r="X2245" s="4"/>
      <c r="Y2245" s="4"/>
      <c r="Z2245" s="4"/>
      <c r="AA2245" s="4"/>
      <c r="AB2245" s="5"/>
    </row>
    <row r="2246" spans="1:28" x14ac:dyDescent="0.35">
      <c r="A2246" s="3"/>
      <c r="B2246" s="4"/>
      <c r="C2246" s="4"/>
      <c r="D2246" s="4"/>
      <c r="E2246" s="4"/>
      <c r="F2246" s="4"/>
      <c r="G2246" s="4"/>
      <c r="H2246" s="4"/>
      <c r="I2246" s="4"/>
      <c r="J2246" s="4"/>
      <c r="K2246" s="4"/>
      <c r="L2246" s="4"/>
      <c r="M2246" s="4"/>
      <c r="N2246" s="4"/>
      <c r="O2246" s="4"/>
      <c r="P2246" s="4"/>
      <c r="Q2246" s="4"/>
      <c r="R2246" s="4"/>
      <c r="S2246" s="4"/>
      <c r="T2246" s="4"/>
      <c r="U2246" s="4"/>
      <c r="V2246" s="4"/>
      <c r="W2246" s="4"/>
      <c r="X2246" s="4"/>
      <c r="Y2246" s="4"/>
      <c r="Z2246" s="4"/>
      <c r="AA2246" s="4"/>
      <c r="AB2246" s="5"/>
    </row>
    <row r="2247" spans="1:28" x14ac:dyDescent="0.35">
      <c r="A2247" s="3"/>
      <c r="B2247" s="4"/>
      <c r="C2247" s="4"/>
      <c r="D2247" s="4"/>
      <c r="E2247" s="4"/>
      <c r="F2247" s="4"/>
      <c r="G2247" s="4"/>
      <c r="H2247" s="4"/>
      <c r="I2247" s="4"/>
      <c r="J2247" s="4"/>
      <c r="K2247" s="4"/>
      <c r="L2247" s="4"/>
      <c r="M2247" s="4"/>
      <c r="N2247" s="4"/>
      <c r="O2247" s="4"/>
      <c r="P2247" s="4"/>
      <c r="Q2247" s="4"/>
      <c r="R2247" s="4"/>
      <c r="S2247" s="4"/>
      <c r="T2247" s="4"/>
      <c r="U2247" s="4"/>
      <c r="V2247" s="4"/>
      <c r="W2247" s="4"/>
      <c r="X2247" s="4"/>
      <c r="Y2247" s="4"/>
      <c r="Z2247" s="4"/>
      <c r="AA2247" s="4"/>
      <c r="AB2247" s="5"/>
    </row>
    <row r="2248" spans="1:28" x14ac:dyDescent="0.35">
      <c r="A2248" s="3"/>
      <c r="B2248" s="4"/>
      <c r="C2248" s="4"/>
      <c r="D2248" s="4"/>
      <c r="E2248" s="4"/>
      <c r="F2248" s="4"/>
      <c r="G2248" s="4"/>
      <c r="H2248" s="4"/>
      <c r="I2248" s="4"/>
      <c r="J2248" s="4"/>
      <c r="K2248" s="4"/>
      <c r="L2248" s="4"/>
      <c r="M2248" s="4"/>
      <c r="N2248" s="4"/>
      <c r="O2248" s="4"/>
      <c r="P2248" s="4"/>
      <c r="Q2248" s="4"/>
      <c r="R2248" s="4"/>
      <c r="S2248" s="4"/>
      <c r="T2248" s="4"/>
      <c r="U2248" s="4"/>
      <c r="V2248" s="4"/>
      <c r="W2248" s="4"/>
      <c r="X2248" s="4"/>
      <c r="Y2248" s="4"/>
      <c r="Z2248" s="4"/>
      <c r="AA2248" s="4"/>
      <c r="AB2248" s="5"/>
    </row>
    <row r="2249" spans="1:28" x14ac:dyDescent="0.35">
      <c r="A2249" s="3"/>
      <c r="B2249" s="4"/>
      <c r="C2249" s="4"/>
      <c r="D2249" s="4"/>
      <c r="E2249" s="4"/>
      <c r="F2249" s="4"/>
      <c r="G2249" s="4"/>
      <c r="H2249" s="4"/>
      <c r="I2249" s="4"/>
      <c r="J2249" s="4"/>
      <c r="K2249" s="4"/>
      <c r="L2249" s="4"/>
      <c r="M2249" s="4"/>
      <c r="N2249" s="4"/>
      <c r="O2249" s="4"/>
      <c r="P2249" s="4"/>
      <c r="Q2249" s="4"/>
      <c r="R2249" s="4"/>
      <c r="S2249" s="4"/>
      <c r="T2249" s="4"/>
      <c r="U2249" s="4"/>
      <c r="V2249" s="4"/>
      <c r="W2249" s="4"/>
      <c r="X2249" s="4"/>
      <c r="Y2249" s="4"/>
      <c r="Z2249" s="4"/>
      <c r="AA2249" s="4"/>
      <c r="AB2249" s="5"/>
    </row>
    <row r="2250" spans="1:28" x14ac:dyDescent="0.35">
      <c r="A2250" s="3"/>
      <c r="B2250" s="4"/>
      <c r="C2250" s="4"/>
      <c r="D2250" s="4"/>
      <c r="E2250" s="4"/>
      <c r="F2250" s="4"/>
      <c r="G2250" s="4"/>
      <c r="H2250" s="4"/>
      <c r="I2250" s="4"/>
      <c r="J2250" s="4"/>
      <c r="K2250" s="4"/>
      <c r="L2250" s="4"/>
      <c r="M2250" s="4"/>
      <c r="N2250" s="4"/>
      <c r="O2250" s="4"/>
      <c r="P2250" s="4"/>
      <c r="Q2250" s="4"/>
      <c r="R2250" s="4"/>
      <c r="S2250" s="4"/>
      <c r="T2250" s="4"/>
      <c r="U2250" s="4"/>
      <c r="V2250" s="4"/>
      <c r="W2250" s="4"/>
      <c r="X2250" s="4"/>
      <c r="Y2250" s="4"/>
      <c r="Z2250" s="4"/>
      <c r="AA2250" s="4"/>
      <c r="AB2250" s="5"/>
    </row>
    <row r="2251" spans="1:28" x14ac:dyDescent="0.35">
      <c r="A2251" s="3"/>
      <c r="B2251" s="4"/>
      <c r="C2251" s="4"/>
      <c r="D2251" s="4"/>
      <c r="E2251" s="4"/>
      <c r="F2251" s="4"/>
      <c r="G2251" s="4"/>
      <c r="H2251" s="4"/>
      <c r="I2251" s="4"/>
      <c r="J2251" s="4"/>
      <c r="K2251" s="4"/>
      <c r="L2251" s="4"/>
      <c r="M2251" s="4"/>
      <c r="N2251" s="4"/>
      <c r="O2251" s="4"/>
      <c r="P2251" s="4"/>
      <c r="Q2251" s="4"/>
      <c r="R2251" s="4"/>
      <c r="S2251" s="4"/>
      <c r="T2251" s="4"/>
      <c r="U2251" s="4"/>
      <c r="V2251" s="4"/>
      <c r="W2251" s="4"/>
      <c r="X2251" s="4"/>
      <c r="Y2251" s="4"/>
      <c r="Z2251" s="4"/>
      <c r="AA2251" s="4"/>
      <c r="AB2251" s="5"/>
    </row>
    <row r="2252" spans="1:28" x14ac:dyDescent="0.35">
      <c r="A2252" s="3"/>
      <c r="B2252" s="4"/>
      <c r="C2252" s="4"/>
      <c r="D2252" s="4"/>
      <c r="E2252" s="4"/>
      <c r="F2252" s="4"/>
      <c r="G2252" s="4"/>
      <c r="H2252" s="4"/>
      <c r="I2252" s="4"/>
      <c r="J2252" s="4"/>
      <c r="K2252" s="4"/>
      <c r="L2252" s="4"/>
      <c r="M2252" s="4"/>
      <c r="N2252" s="4"/>
      <c r="O2252" s="4"/>
      <c r="P2252" s="4"/>
      <c r="Q2252" s="4"/>
      <c r="R2252" s="4"/>
      <c r="S2252" s="4"/>
      <c r="T2252" s="4"/>
      <c r="U2252" s="4"/>
      <c r="V2252" s="4"/>
      <c r="W2252" s="4"/>
      <c r="X2252" s="4"/>
      <c r="Y2252" s="4"/>
      <c r="Z2252" s="4"/>
      <c r="AA2252" s="4"/>
      <c r="AB2252" s="5"/>
    </row>
    <row r="2253" spans="1:28" x14ac:dyDescent="0.35">
      <c r="A2253" s="3"/>
      <c r="B2253" s="4"/>
      <c r="C2253" s="4"/>
      <c r="D2253" s="4"/>
      <c r="E2253" s="4"/>
      <c r="F2253" s="4"/>
      <c r="G2253" s="4"/>
      <c r="H2253" s="4"/>
      <c r="I2253" s="4"/>
      <c r="J2253" s="4"/>
      <c r="K2253" s="4"/>
      <c r="L2253" s="4"/>
      <c r="M2253" s="4"/>
      <c r="N2253" s="4"/>
      <c r="O2253" s="4"/>
      <c r="P2253" s="4"/>
      <c r="Q2253" s="4"/>
      <c r="R2253" s="4"/>
      <c r="S2253" s="4"/>
      <c r="T2253" s="4"/>
      <c r="U2253" s="4"/>
      <c r="V2253" s="4"/>
      <c r="W2253" s="4"/>
      <c r="X2253" s="4"/>
      <c r="Y2253" s="4"/>
      <c r="Z2253" s="4"/>
      <c r="AA2253" s="4"/>
      <c r="AB2253" s="5"/>
    </row>
    <row r="2254" spans="1:28" x14ac:dyDescent="0.35">
      <c r="A2254" s="3"/>
      <c r="B2254" s="4"/>
      <c r="C2254" s="4"/>
      <c r="D2254" s="4"/>
      <c r="E2254" s="4"/>
      <c r="F2254" s="4"/>
      <c r="G2254" s="4"/>
      <c r="H2254" s="4"/>
      <c r="I2254" s="4"/>
      <c r="J2254" s="4"/>
      <c r="K2254" s="4"/>
      <c r="L2254" s="4"/>
      <c r="M2254" s="4"/>
      <c r="N2254" s="4"/>
      <c r="O2254" s="4"/>
      <c r="P2254" s="4"/>
      <c r="Q2254" s="4"/>
      <c r="R2254" s="4"/>
      <c r="S2254" s="4"/>
      <c r="T2254" s="4"/>
      <c r="U2254" s="4"/>
      <c r="V2254" s="4"/>
      <c r="W2254" s="4"/>
      <c r="X2254" s="4"/>
      <c r="Y2254" s="4"/>
      <c r="Z2254" s="4"/>
      <c r="AA2254" s="4"/>
      <c r="AB2254" s="5"/>
    </row>
    <row r="2255" spans="1:28" x14ac:dyDescent="0.35">
      <c r="A2255" s="3"/>
      <c r="B2255" s="4"/>
      <c r="C2255" s="4"/>
      <c r="D2255" s="4"/>
      <c r="E2255" s="4"/>
      <c r="F2255" s="4"/>
      <c r="G2255" s="4"/>
      <c r="H2255" s="4"/>
      <c r="I2255" s="4"/>
      <c r="J2255" s="4"/>
      <c r="K2255" s="4"/>
      <c r="L2255" s="4"/>
      <c r="M2255" s="4"/>
      <c r="N2255" s="4"/>
      <c r="O2255" s="4"/>
      <c r="P2255" s="4"/>
      <c r="Q2255" s="4"/>
      <c r="R2255" s="4"/>
      <c r="S2255" s="4"/>
      <c r="T2255" s="4"/>
      <c r="U2255" s="4"/>
      <c r="V2255" s="4"/>
      <c r="W2255" s="4"/>
      <c r="X2255" s="4"/>
      <c r="Y2255" s="4"/>
      <c r="Z2255" s="4"/>
      <c r="AA2255" s="4"/>
      <c r="AB2255" s="5"/>
    </row>
    <row r="2256" spans="1:28" x14ac:dyDescent="0.35">
      <c r="A2256" s="3"/>
      <c r="B2256" s="4"/>
      <c r="C2256" s="4"/>
      <c r="D2256" s="4"/>
      <c r="E2256" s="4"/>
      <c r="F2256" s="4"/>
      <c r="G2256" s="4"/>
      <c r="H2256" s="4"/>
      <c r="I2256" s="4"/>
      <c r="J2256" s="4"/>
      <c r="K2256" s="4"/>
      <c r="L2256" s="4"/>
      <c r="M2256" s="4"/>
      <c r="N2256" s="4"/>
      <c r="O2256" s="4"/>
      <c r="P2256" s="4"/>
      <c r="Q2256" s="4"/>
      <c r="R2256" s="4"/>
      <c r="S2256" s="4"/>
      <c r="T2256" s="4"/>
      <c r="U2256" s="4"/>
      <c r="V2256" s="4"/>
      <c r="W2256" s="4"/>
      <c r="X2256" s="4"/>
      <c r="Y2256" s="4"/>
      <c r="Z2256" s="4"/>
      <c r="AA2256" s="4"/>
      <c r="AB2256" s="5"/>
    </row>
    <row r="2257" spans="1:28" x14ac:dyDescent="0.35">
      <c r="A2257" s="3"/>
      <c r="B2257" s="4"/>
      <c r="C2257" s="4"/>
      <c r="D2257" s="4"/>
      <c r="E2257" s="4"/>
      <c r="F2257" s="4"/>
      <c r="G2257" s="4"/>
      <c r="H2257" s="4"/>
      <c r="I2257" s="4"/>
      <c r="J2257" s="4"/>
      <c r="K2257" s="4"/>
      <c r="L2257" s="4"/>
      <c r="M2257" s="4"/>
      <c r="N2257" s="4"/>
      <c r="O2257" s="4"/>
      <c r="P2257" s="4"/>
      <c r="Q2257" s="4"/>
      <c r="R2257" s="4"/>
      <c r="S2257" s="4"/>
      <c r="T2257" s="4"/>
      <c r="U2257" s="4"/>
      <c r="V2257" s="4"/>
      <c r="W2257" s="4"/>
      <c r="X2257" s="4"/>
      <c r="Y2257" s="4"/>
      <c r="Z2257" s="4"/>
      <c r="AA2257" s="4"/>
      <c r="AB2257" s="5"/>
    </row>
    <row r="2258" spans="1:28" x14ac:dyDescent="0.35">
      <c r="A2258" s="3"/>
      <c r="B2258" s="4"/>
      <c r="C2258" s="4"/>
      <c r="D2258" s="4"/>
      <c r="E2258" s="4"/>
      <c r="F2258" s="4"/>
      <c r="G2258" s="4"/>
      <c r="H2258" s="4"/>
      <c r="I2258" s="4"/>
      <c r="J2258" s="4"/>
      <c r="K2258" s="4"/>
      <c r="L2258" s="4"/>
      <c r="M2258" s="4"/>
      <c r="N2258" s="4"/>
      <c r="O2258" s="4"/>
      <c r="P2258" s="4"/>
      <c r="Q2258" s="4"/>
      <c r="R2258" s="4"/>
      <c r="S2258" s="4"/>
      <c r="T2258" s="4"/>
      <c r="U2258" s="4"/>
      <c r="V2258" s="4"/>
      <c r="W2258" s="4"/>
      <c r="X2258" s="4"/>
      <c r="Y2258" s="4"/>
      <c r="Z2258" s="4"/>
      <c r="AA2258" s="4"/>
      <c r="AB2258" s="5"/>
    </row>
    <row r="2259" spans="1:28" x14ac:dyDescent="0.35">
      <c r="A2259" s="3"/>
      <c r="B2259" s="4"/>
      <c r="C2259" s="4"/>
      <c r="D2259" s="4"/>
      <c r="E2259" s="4"/>
      <c r="F2259" s="4"/>
      <c r="G2259" s="4"/>
      <c r="H2259" s="4"/>
      <c r="I2259" s="4"/>
      <c r="J2259" s="4"/>
      <c r="K2259" s="4"/>
      <c r="L2259" s="4"/>
      <c r="M2259" s="4"/>
      <c r="N2259" s="4"/>
      <c r="O2259" s="4"/>
      <c r="P2259" s="4"/>
      <c r="Q2259" s="4"/>
      <c r="R2259" s="4"/>
      <c r="S2259" s="4"/>
      <c r="T2259" s="4"/>
      <c r="U2259" s="4"/>
      <c r="V2259" s="4"/>
      <c r="W2259" s="4"/>
      <c r="X2259" s="4"/>
      <c r="Y2259" s="4"/>
      <c r="Z2259" s="4"/>
      <c r="AA2259" s="4"/>
      <c r="AB2259" s="5"/>
    </row>
    <row r="2260" spans="1:28" x14ac:dyDescent="0.35">
      <c r="A2260" s="3"/>
      <c r="B2260" s="4"/>
      <c r="C2260" s="4"/>
      <c r="D2260" s="4"/>
      <c r="E2260" s="4"/>
      <c r="F2260" s="4"/>
      <c r="G2260" s="4"/>
      <c r="H2260" s="4"/>
      <c r="I2260" s="4"/>
      <c r="J2260" s="4"/>
      <c r="K2260" s="4"/>
      <c r="L2260" s="4"/>
      <c r="M2260" s="4"/>
      <c r="N2260" s="4"/>
      <c r="O2260" s="4"/>
      <c r="P2260" s="4"/>
      <c r="Q2260" s="4"/>
      <c r="R2260" s="4"/>
      <c r="S2260" s="4"/>
      <c r="T2260" s="4"/>
      <c r="U2260" s="4"/>
      <c r="V2260" s="4"/>
      <c r="W2260" s="4"/>
      <c r="X2260" s="4"/>
      <c r="Y2260" s="4"/>
      <c r="Z2260" s="4"/>
      <c r="AA2260" s="4"/>
      <c r="AB2260" s="5"/>
    </row>
    <row r="2261" spans="1:28" x14ac:dyDescent="0.35">
      <c r="A2261" s="3"/>
      <c r="B2261" s="4"/>
      <c r="C2261" s="4"/>
      <c r="D2261" s="4"/>
      <c r="E2261" s="4"/>
      <c r="F2261" s="4"/>
      <c r="G2261" s="4"/>
      <c r="H2261" s="4"/>
      <c r="I2261" s="4"/>
      <c r="J2261" s="4"/>
      <c r="K2261" s="4"/>
      <c r="L2261" s="4"/>
      <c r="M2261" s="4"/>
      <c r="N2261" s="4"/>
      <c r="O2261" s="4"/>
      <c r="P2261" s="4"/>
      <c r="Q2261" s="4"/>
      <c r="R2261" s="4"/>
      <c r="S2261" s="4"/>
      <c r="T2261" s="4"/>
      <c r="U2261" s="4"/>
      <c r="V2261" s="4"/>
      <c r="W2261" s="4"/>
      <c r="X2261" s="4"/>
      <c r="Y2261" s="4"/>
      <c r="Z2261" s="4"/>
      <c r="AA2261" s="4"/>
      <c r="AB2261" s="5"/>
    </row>
    <row r="2262" spans="1:28" x14ac:dyDescent="0.35">
      <c r="A2262" s="3"/>
      <c r="B2262" s="4"/>
      <c r="C2262" s="4"/>
      <c r="D2262" s="4"/>
      <c r="E2262" s="4"/>
      <c r="F2262" s="4"/>
      <c r="G2262" s="4"/>
      <c r="H2262" s="4"/>
      <c r="I2262" s="4"/>
      <c r="J2262" s="4"/>
      <c r="K2262" s="4"/>
      <c r="L2262" s="4"/>
      <c r="M2262" s="4"/>
      <c r="N2262" s="4"/>
      <c r="O2262" s="4"/>
      <c r="P2262" s="4"/>
      <c r="Q2262" s="4"/>
      <c r="R2262" s="4"/>
      <c r="S2262" s="4"/>
      <c r="T2262" s="4"/>
      <c r="U2262" s="4"/>
      <c r="V2262" s="4"/>
      <c r="W2262" s="4"/>
      <c r="X2262" s="4"/>
      <c r="Y2262" s="4"/>
      <c r="Z2262" s="4"/>
      <c r="AA2262" s="4"/>
      <c r="AB2262" s="5"/>
    </row>
    <row r="2263" spans="1:28" x14ac:dyDescent="0.35">
      <c r="A2263" s="3"/>
      <c r="B2263" s="4"/>
      <c r="C2263" s="4"/>
      <c r="D2263" s="4"/>
      <c r="E2263" s="4"/>
      <c r="F2263" s="4"/>
      <c r="G2263" s="4"/>
      <c r="H2263" s="4"/>
      <c r="I2263" s="4"/>
      <c r="J2263" s="4"/>
      <c r="K2263" s="4"/>
      <c r="L2263" s="4"/>
      <c r="M2263" s="4"/>
      <c r="N2263" s="4"/>
      <c r="O2263" s="4"/>
      <c r="P2263" s="4"/>
      <c r="Q2263" s="4"/>
      <c r="R2263" s="4"/>
      <c r="S2263" s="4"/>
      <c r="T2263" s="4"/>
      <c r="U2263" s="4"/>
      <c r="V2263" s="4"/>
      <c r="W2263" s="4"/>
      <c r="X2263" s="4"/>
      <c r="Y2263" s="4"/>
      <c r="Z2263" s="4"/>
      <c r="AA2263" s="4"/>
      <c r="AB2263" s="5"/>
    </row>
    <row r="2264" spans="1:28" x14ac:dyDescent="0.35">
      <c r="A2264" s="3"/>
      <c r="B2264" s="4"/>
      <c r="C2264" s="4"/>
      <c r="D2264" s="4"/>
      <c r="E2264" s="4"/>
      <c r="F2264" s="4"/>
      <c r="G2264" s="4"/>
      <c r="H2264" s="4"/>
      <c r="I2264" s="4"/>
      <c r="J2264" s="4"/>
      <c r="K2264" s="4"/>
      <c r="L2264" s="4"/>
      <c r="M2264" s="4"/>
      <c r="N2264" s="4"/>
      <c r="O2264" s="4"/>
      <c r="P2264" s="4"/>
      <c r="Q2264" s="4"/>
      <c r="R2264" s="4"/>
      <c r="S2264" s="4"/>
      <c r="T2264" s="4"/>
      <c r="U2264" s="4"/>
      <c r="V2264" s="4"/>
      <c r="W2264" s="4"/>
      <c r="X2264" s="4"/>
      <c r="Y2264" s="4"/>
      <c r="Z2264" s="4"/>
      <c r="AA2264" s="4"/>
      <c r="AB2264" s="5"/>
    </row>
    <row r="2265" spans="1:28" x14ac:dyDescent="0.35">
      <c r="A2265" s="3"/>
      <c r="B2265" s="4"/>
      <c r="C2265" s="4"/>
      <c r="D2265" s="4"/>
      <c r="E2265" s="4"/>
      <c r="F2265" s="4"/>
      <c r="G2265" s="4"/>
      <c r="H2265" s="4"/>
      <c r="I2265" s="4"/>
      <c r="J2265" s="4"/>
      <c r="K2265" s="4"/>
      <c r="L2265" s="4"/>
      <c r="M2265" s="4"/>
      <c r="N2265" s="4"/>
      <c r="O2265" s="4"/>
      <c r="P2265" s="4"/>
      <c r="Q2265" s="4"/>
      <c r="R2265" s="4"/>
      <c r="S2265" s="4"/>
      <c r="T2265" s="4"/>
      <c r="U2265" s="4"/>
      <c r="V2265" s="4"/>
      <c r="W2265" s="4"/>
      <c r="X2265" s="4"/>
      <c r="Y2265" s="4"/>
      <c r="Z2265" s="4"/>
      <c r="AA2265" s="4"/>
      <c r="AB2265" s="5"/>
    </row>
    <row r="2266" spans="1:28" x14ac:dyDescent="0.35">
      <c r="A2266" s="3"/>
      <c r="B2266" s="4"/>
      <c r="C2266" s="4"/>
      <c r="D2266" s="4"/>
      <c r="E2266" s="4"/>
      <c r="F2266" s="4"/>
      <c r="G2266" s="4"/>
      <c r="H2266" s="4"/>
      <c r="I2266" s="4"/>
      <c r="J2266" s="4"/>
      <c r="K2266" s="4"/>
      <c r="L2266" s="4"/>
      <c r="M2266" s="4"/>
      <c r="N2266" s="4"/>
      <c r="O2266" s="4"/>
      <c r="P2266" s="4"/>
      <c r="Q2266" s="4"/>
      <c r="R2266" s="4"/>
      <c r="S2266" s="4"/>
      <c r="T2266" s="4"/>
      <c r="U2266" s="4"/>
      <c r="V2266" s="4"/>
      <c r="W2266" s="4"/>
      <c r="X2266" s="4"/>
      <c r="Y2266" s="4"/>
      <c r="Z2266" s="4"/>
      <c r="AA2266" s="4"/>
      <c r="AB2266" s="5"/>
    </row>
    <row r="2267" spans="1:28" x14ac:dyDescent="0.35">
      <c r="A2267" s="3"/>
      <c r="B2267" s="4"/>
      <c r="C2267" s="4"/>
      <c r="D2267" s="4"/>
      <c r="E2267" s="4"/>
      <c r="F2267" s="4"/>
      <c r="G2267" s="4"/>
      <c r="H2267" s="4"/>
      <c r="I2267" s="4"/>
      <c r="J2267" s="4"/>
      <c r="K2267" s="4"/>
      <c r="L2267" s="4"/>
      <c r="M2267" s="4"/>
      <c r="N2267" s="4"/>
      <c r="O2267" s="4"/>
      <c r="P2267" s="4"/>
      <c r="Q2267" s="4"/>
      <c r="R2267" s="4"/>
      <c r="S2267" s="4"/>
      <c r="T2267" s="4"/>
      <c r="U2267" s="4"/>
      <c r="V2267" s="4"/>
      <c r="W2267" s="4"/>
      <c r="X2267" s="4"/>
      <c r="Y2267" s="4"/>
      <c r="Z2267" s="4"/>
      <c r="AA2267" s="4"/>
      <c r="AB2267" s="5"/>
    </row>
    <row r="2268" spans="1:28" x14ac:dyDescent="0.35">
      <c r="A2268" s="3"/>
      <c r="B2268" s="4"/>
      <c r="C2268" s="4"/>
      <c r="D2268" s="4"/>
      <c r="E2268" s="4"/>
      <c r="F2268" s="4"/>
      <c r="G2268" s="4"/>
      <c r="H2268" s="4"/>
      <c r="I2268" s="4"/>
      <c r="J2268" s="4"/>
      <c r="K2268" s="4"/>
      <c r="L2268" s="4"/>
      <c r="M2268" s="4"/>
      <c r="N2268" s="4"/>
      <c r="O2268" s="4"/>
      <c r="P2268" s="4"/>
      <c r="Q2268" s="4"/>
      <c r="R2268" s="4"/>
      <c r="S2268" s="4"/>
      <c r="T2268" s="4"/>
      <c r="U2268" s="4"/>
      <c r="V2268" s="4"/>
      <c r="W2268" s="4"/>
      <c r="X2268" s="4"/>
      <c r="Y2268" s="4"/>
      <c r="Z2268" s="4"/>
      <c r="AA2268" s="4"/>
      <c r="AB2268" s="5"/>
    </row>
    <row r="2269" spans="1:28" x14ac:dyDescent="0.35">
      <c r="A2269" s="3"/>
      <c r="B2269" s="4"/>
      <c r="C2269" s="4"/>
      <c r="D2269" s="4"/>
      <c r="E2269" s="4"/>
      <c r="F2269" s="4"/>
      <c r="G2269" s="4"/>
      <c r="H2269" s="4"/>
      <c r="I2269" s="4"/>
      <c r="J2269" s="4"/>
      <c r="K2269" s="4"/>
      <c r="L2269" s="4"/>
      <c r="M2269" s="4"/>
      <c r="N2269" s="4"/>
      <c r="O2269" s="4"/>
      <c r="P2269" s="4"/>
      <c r="Q2269" s="4"/>
      <c r="R2269" s="4"/>
      <c r="S2269" s="4"/>
      <c r="T2269" s="4"/>
      <c r="U2269" s="4"/>
      <c r="V2269" s="4"/>
      <c r="W2269" s="4"/>
      <c r="X2269" s="4"/>
      <c r="Y2269" s="4"/>
      <c r="Z2269" s="4"/>
      <c r="AA2269" s="4"/>
      <c r="AB2269" s="5"/>
    </row>
    <row r="2270" spans="1:28" x14ac:dyDescent="0.35">
      <c r="A2270" s="3"/>
      <c r="B2270" s="4"/>
      <c r="C2270" s="4"/>
      <c r="D2270" s="4"/>
      <c r="E2270" s="4"/>
      <c r="F2270" s="4"/>
      <c r="G2270" s="4"/>
      <c r="H2270" s="4"/>
      <c r="I2270" s="4"/>
      <c r="J2270" s="4"/>
      <c r="K2270" s="4"/>
      <c r="L2270" s="4"/>
      <c r="M2270" s="4"/>
      <c r="N2270" s="4"/>
      <c r="O2270" s="4"/>
      <c r="P2270" s="4"/>
      <c r="Q2270" s="4"/>
      <c r="R2270" s="4"/>
      <c r="S2270" s="4"/>
      <c r="T2270" s="4"/>
      <c r="U2270" s="4"/>
      <c r="V2270" s="4"/>
      <c r="W2270" s="4"/>
      <c r="X2270" s="4"/>
      <c r="Y2270" s="4"/>
      <c r="Z2270" s="4"/>
      <c r="AA2270" s="4"/>
      <c r="AB2270" s="5"/>
    </row>
    <row r="2271" spans="1:28" x14ac:dyDescent="0.35">
      <c r="A2271" s="3"/>
      <c r="B2271" s="4"/>
      <c r="C2271" s="4"/>
      <c r="D2271" s="4"/>
      <c r="E2271" s="4"/>
      <c r="F2271" s="4"/>
      <c r="G2271" s="4"/>
      <c r="H2271" s="4"/>
      <c r="I2271" s="4"/>
      <c r="J2271" s="4"/>
      <c r="K2271" s="4"/>
      <c r="L2271" s="4"/>
      <c r="M2271" s="4"/>
      <c r="N2271" s="4"/>
      <c r="O2271" s="4"/>
      <c r="P2271" s="4"/>
      <c r="Q2271" s="4"/>
      <c r="R2271" s="4"/>
      <c r="S2271" s="4"/>
      <c r="T2271" s="4"/>
      <c r="U2271" s="4"/>
      <c r="V2271" s="4"/>
      <c r="W2271" s="4"/>
      <c r="X2271" s="4"/>
      <c r="Y2271" s="4"/>
      <c r="Z2271" s="4"/>
      <c r="AA2271" s="4"/>
      <c r="AB2271" s="5"/>
    </row>
    <row r="2272" spans="1:28" x14ac:dyDescent="0.35">
      <c r="A2272" s="3"/>
      <c r="B2272" s="4"/>
      <c r="C2272" s="4"/>
      <c r="D2272" s="4"/>
      <c r="E2272" s="4"/>
      <c r="F2272" s="4"/>
      <c r="G2272" s="4"/>
      <c r="H2272" s="4"/>
      <c r="I2272" s="4"/>
      <c r="J2272" s="4"/>
      <c r="K2272" s="4"/>
      <c r="L2272" s="4"/>
      <c r="M2272" s="4"/>
      <c r="N2272" s="4"/>
      <c r="O2272" s="4"/>
      <c r="P2272" s="4"/>
      <c r="Q2272" s="4"/>
      <c r="R2272" s="4"/>
      <c r="S2272" s="4"/>
      <c r="T2272" s="4"/>
      <c r="U2272" s="4"/>
      <c r="V2272" s="4"/>
      <c r="W2272" s="4"/>
      <c r="X2272" s="4"/>
      <c r="Y2272" s="4"/>
      <c r="Z2272" s="4"/>
      <c r="AA2272" s="4"/>
      <c r="AB2272" s="5"/>
    </row>
    <row r="2273" spans="1:28" x14ac:dyDescent="0.35">
      <c r="A2273" s="3"/>
      <c r="B2273" s="4"/>
      <c r="C2273" s="4"/>
      <c r="D2273" s="4"/>
      <c r="E2273" s="4"/>
      <c r="F2273" s="4"/>
      <c r="G2273" s="4"/>
      <c r="H2273" s="4"/>
      <c r="I2273" s="4"/>
      <c r="J2273" s="4"/>
      <c r="K2273" s="4"/>
      <c r="L2273" s="4"/>
      <c r="M2273" s="4"/>
      <c r="N2273" s="4"/>
      <c r="O2273" s="4"/>
      <c r="P2273" s="4"/>
      <c r="Q2273" s="4"/>
      <c r="R2273" s="4"/>
      <c r="S2273" s="4"/>
      <c r="T2273" s="4"/>
      <c r="U2273" s="4"/>
      <c r="V2273" s="4"/>
      <c r="W2273" s="4"/>
      <c r="X2273" s="4"/>
      <c r="Y2273" s="4"/>
      <c r="Z2273" s="4"/>
      <c r="AA2273" s="4"/>
      <c r="AB2273" s="5"/>
    </row>
    <row r="2274" spans="1:28" x14ac:dyDescent="0.35">
      <c r="A2274" s="3"/>
      <c r="B2274" s="4"/>
      <c r="C2274" s="4"/>
      <c r="D2274" s="4"/>
      <c r="E2274" s="4"/>
      <c r="F2274" s="4"/>
      <c r="G2274" s="4"/>
      <c r="H2274" s="4"/>
      <c r="I2274" s="4"/>
      <c r="J2274" s="4"/>
      <c r="K2274" s="4"/>
      <c r="L2274" s="4"/>
      <c r="M2274" s="4"/>
      <c r="N2274" s="4"/>
      <c r="O2274" s="4"/>
      <c r="P2274" s="4"/>
      <c r="Q2274" s="4"/>
      <c r="R2274" s="4"/>
      <c r="S2274" s="4"/>
      <c r="T2274" s="4"/>
      <c r="U2274" s="4"/>
      <c r="V2274" s="4"/>
      <c r="W2274" s="4"/>
      <c r="X2274" s="4"/>
      <c r="Y2274" s="4"/>
      <c r="Z2274" s="4"/>
      <c r="AA2274" s="4"/>
      <c r="AB2274" s="5"/>
    </row>
    <row r="2275" spans="1:28" x14ac:dyDescent="0.35">
      <c r="A2275" s="3"/>
      <c r="B2275" s="4"/>
      <c r="C2275" s="4"/>
      <c r="D2275" s="4"/>
      <c r="E2275" s="4"/>
      <c r="F2275" s="4"/>
      <c r="G2275" s="4"/>
      <c r="H2275" s="4"/>
      <c r="I2275" s="4"/>
      <c r="J2275" s="4"/>
      <c r="K2275" s="4"/>
      <c r="L2275" s="4"/>
      <c r="M2275" s="4"/>
      <c r="N2275" s="4"/>
      <c r="O2275" s="4"/>
      <c r="P2275" s="4"/>
      <c r="Q2275" s="4"/>
      <c r="R2275" s="4"/>
      <c r="S2275" s="4"/>
      <c r="T2275" s="4"/>
      <c r="U2275" s="4"/>
      <c r="V2275" s="4"/>
      <c r="W2275" s="4"/>
      <c r="X2275" s="4"/>
      <c r="Y2275" s="4"/>
      <c r="Z2275" s="4"/>
      <c r="AA2275" s="4"/>
      <c r="AB2275" s="5"/>
    </row>
    <row r="2276" spans="1:28" x14ac:dyDescent="0.35">
      <c r="A2276" s="3"/>
      <c r="B2276" s="4"/>
      <c r="C2276" s="4"/>
      <c r="D2276" s="4"/>
      <c r="E2276" s="4"/>
      <c r="F2276" s="4"/>
      <c r="G2276" s="4"/>
      <c r="H2276" s="4"/>
      <c r="I2276" s="4"/>
      <c r="J2276" s="4"/>
      <c r="K2276" s="4"/>
      <c r="L2276" s="4"/>
      <c r="M2276" s="4"/>
      <c r="N2276" s="4"/>
      <c r="O2276" s="4"/>
      <c r="P2276" s="4"/>
      <c r="Q2276" s="4"/>
      <c r="R2276" s="4"/>
      <c r="S2276" s="4"/>
      <c r="T2276" s="4"/>
      <c r="U2276" s="4"/>
      <c r="V2276" s="4"/>
      <c r="W2276" s="4"/>
      <c r="X2276" s="4"/>
      <c r="Y2276" s="4"/>
      <c r="Z2276" s="4"/>
      <c r="AA2276" s="4"/>
      <c r="AB2276" s="5"/>
    </row>
    <row r="2277" spans="1:28" x14ac:dyDescent="0.35">
      <c r="A2277" s="3"/>
      <c r="B2277" s="4"/>
      <c r="C2277" s="4"/>
      <c r="D2277" s="4"/>
      <c r="E2277" s="4"/>
      <c r="F2277" s="4"/>
      <c r="G2277" s="4"/>
      <c r="H2277" s="4"/>
      <c r="I2277" s="4"/>
      <c r="J2277" s="4"/>
      <c r="K2277" s="4"/>
      <c r="L2277" s="4"/>
      <c r="M2277" s="4"/>
      <c r="N2277" s="4"/>
      <c r="O2277" s="4"/>
      <c r="P2277" s="4"/>
      <c r="Q2277" s="4"/>
      <c r="R2277" s="4"/>
      <c r="S2277" s="4"/>
      <c r="T2277" s="4"/>
      <c r="U2277" s="4"/>
      <c r="V2277" s="4"/>
      <c r="W2277" s="4"/>
      <c r="X2277" s="4"/>
      <c r="Y2277" s="4"/>
      <c r="Z2277" s="4"/>
      <c r="AA2277" s="4"/>
      <c r="AB2277" s="5"/>
    </row>
    <row r="2278" spans="1:28" x14ac:dyDescent="0.35">
      <c r="A2278" s="3"/>
      <c r="B2278" s="4"/>
      <c r="C2278" s="4"/>
      <c r="D2278" s="4"/>
      <c r="E2278" s="4"/>
      <c r="F2278" s="4"/>
      <c r="G2278" s="4"/>
      <c r="H2278" s="4"/>
      <c r="I2278" s="4"/>
      <c r="J2278" s="4"/>
      <c r="K2278" s="4"/>
      <c r="L2278" s="4"/>
      <c r="M2278" s="4"/>
      <c r="N2278" s="4"/>
      <c r="O2278" s="4"/>
      <c r="P2278" s="4"/>
      <c r="Q2278" s="4"/>
      <c r="R2278" s="4"/>
      <c r="S2278" s="4"/>
      <c r="T2278" s="4"/>
      <c r="U2278" s="4"/>
      <c r="V2278" s="4"/>
      <c r="W2278" s="4"/>
      <c r="X2278" s="4"/>
      <c r="Y2278" s="4"/>
      <c r="Z2278" s="4"/>
      <c r="AA2278" s="4"/>
      <c r="AB2278" s="5"/>
    </row>
    <row r="2279" spans="1:28" x14ac:dyDescent="0.35">
      <c r="A2279" s="3"/>
      <c r="B2279" s="4"/>
      <c r="C2279" s="4"/>
      <c r="D2279" s="4"/>
      <c r="E2279" s="4"/>
      <c r="F2279" s="4"/>
      <c r="G2279" s="4"/>
      <c r="H2279" s="4"/>
      <c r="I2279" s="4"/>
      <c r="J2279" s="4"/>
      <c r="K2279" s="4"/>
      <c r="L2279" s="4"/>
      <c r="M2279" s="4"/>
      <c r="N2279" s="4"/>
      <c r="O2279" s="4"/>
      <c r="P2279" s="4"/>
      <c r="Q2279" s="4"/>
      <c r="R2279" s="4"/>
      <c r="S2279" s="4"/>
      <c r="T2279" s="4"/>
      <c r="U2279" s="4"/>
      <c r="V2279" s="4"/>
      <c r="W2279" s="4"/>
      <c r="X2279" s="4"/>
      <c r="Y2279" s="4"/>
      <c r="Z2279" s="4"/>
      <c r="AA2279" s="4"/>
      <c r="AB2279" s="5"/>
    </row>
    <row r="2280" spans="1:28" x14ac:dyDescent="0.35">
      <c r="A2280" s="3"/>
      <c r="B2280" s="4"/>
      <c r="C2280" s="4"/>
      <c r="D2280" s="4"/>
      <c r="E2280" s="4"/>
      <c r="F2280" s="4"/>
      <c r="G2280" s="4"/>
      <c r="H2280" s="4"/>
      <c r="I2280" s="4"/>
      <c r="J2280" s="4"/>
      <c r="K2280" s="4"/>
      <c r="L2280" s="4"/>
      <c r="M2280" s="4"/>
      <c r="N2280" s="4"/>
      <c r="O2280" s="4"/>
      <c r="P2280" s="4"/>
      <c r="Q2280" s="4"/>
      <c r="R2280" s="4"/>
      <c r="S2280" s="4"/>
      <c r="T2280" s="4"/>
      <c r="U2280" s="4"/>
      <c r="V2280" s="4"/>
      <c r="W2280" s="4"/>
      <c r="X2280" s="4"/>
      <c r="Y2280" s="4"/>
      <c r="Z2280" s="4"/>
      <c r="AA2280" s="4"/>
      <c r="AB2280" s="5"/>
    </row>
    <row r="2281" spans="1:28" x14ac:dyDescent="0.35">
      <c r="A2281" s="3"/>
      <c r="B2281" s="4"/>
      <c r="C2281" s="4"/>
      <c r="D2281" s="4"/>
      <c r="E2281" s="4"/>
      <c r="F2281" s="4"/>
      <c r="G2281" s="4"/>
      <c r="H2281" s="4"/>
      <c r="I2281" s="4"/>
      <c r="J2281" s="4"/>
      <c r="K2281" s="4"/>
      <c r="L2281" s="4"/>
      <c r="M2281" s="4"/>
      <c r="N2281" s="4"/>
      <c r="O2281" s="4"/>
      <c r="P2281" s="4"/>
      <c r="Q2281" s="4"/>
      <c r="R2281" s="4"/>
      <c r="S2281" s="4"/>
      <c r="T2281" s="4"/>
      <c r="U2281" s="4"/>
      <c r="V2281" s="4"/>
      <c r="W2281" s="4"/>
      <c r="X2281" s="4"/>
      <c r="Y2281" s="4"/>
      <c r="Z2281" s="4"/>
      <c r="AA2281" s="4"/>
      <c r="AB2281" s="5"/>
    </row>
    <row r="2282" spans="1:28" x14ac:dyDescent="0.35">
      <c r="A2282" s="3"/>
      <c r="B2282" s="4"/>
      <c r="C2282" s="4"/>
      <c r="D2282" s="4"/>
      <c r="E2282" s="4"/>
      <c r="F2282" s="4"/>
      <c r="G2282" s="4"/>
      <c r="H2282" s="4"/>
      <c r="I2282" s="4"/>
      <c r="J2282" s="4"/>
      <c r="K2282" s="4"/>
      <c r="L2282" s="4"/>
      <c r="M2282" s="4"/>
      <c r="N2282" s="4"/>
      <c r="O2282" s="4"/>
      <c r="P2282" s="4"/>
      <c r="Q2282" s="4"/>
      <c r="R2282" s="4"/>
      <c r="S2282" s="4"/>
      <c r="T2282" s="4"/>
      <c r="U2282" s="4"/>
      <c r="V2282" s="4"/>
      <c r="W2282" s="4"/>
      <c r="X2282" s="4"/>
      <c r="Y2282" s="4"/>
      <c r="Z2282" s="4"/>
      <c r="AA2282" s="4"/>
      <c r="AB2282" s="5"/>
    </row>
    <row r="2283" spans="1:28" x14ac:dyDescent="0.35">
      <c r="A2283" s="3"/>
      <c r="B2283" s="4"/>
      <c r="C2283" s="4"/>
      <c r="D2283" s="4"/>
      <c r="E2283" s="4"/>
      <c r="F2283" s="4"/>
      <c r="G2283" s="4"/>
      <c r="H2283" s="4"/>
      <c r="I2283" s="4"/>
      <c r="J2283" s="4"/>
      <c r="K2283" s="4"/>
      <c r="L2283" s="4"/>
      <c r="M2283" s="4"/>
      <c r="N2283" s="4"/>
      <c r="O2283" s="4"/>
      <c r="P2283" s="4"/>
      <c r="Q2283" s="4"/>
      <c r="R2283" s="4"/>
      <c r="S2283" s="4"/>
      <c r="T2283" s="4"/>
      <c r="U2283" s="4"/>
      <c r="V2283" s="4"/>
      <c r="W2283" s="4"/>
      <c r="X2283" s="4"/>
      <c r="Y2283" s="4"/>
      <c r="Z2283" s="4"/>
      <c r="AA2283" s="4"/>
      <c r="AB2283" s="5"/>
    </row>
    <row r="2284" spans="1:28" x14ac:dyDescent="0.35">
      <c r="A2284" s="3"/>
      <c r="B2284" s="4"/>
      <c r="C2284" s="4"/>
      <c r="D2284" s="4"/>
      <c r="E2284" s="4"/>
      <c r="F2284" s="4"/>
      <c r="G2284" s="4"/>
      <c r="H2284" s="4"/>
      <c r="I2284" s="4"/>
      <c r="J2284" s="4"/>
      <c r="K2284" s="4"/>
      <c r="L2284" s="4"/>
      <c r="M2284" s="4"/>
      <c r="N2284" s="4"/>
      <c r="O2284" s="4"/>
      <c r="P2284" s="4"/>
      <c r="Q2284" s="4"/>
      <c r="R2284" s="4"/>
      <c r="S2284" s="4"/>
      <c r="T2284" s="4"/>
      <c r="U2284" s="4"/>
      <c r="V2284" s="4"/>
      <c r="W2284" s="4"/>
      <c r="X2284" s="4"/>
      <c r="Y2284" s="4"/>
      <c r="Z2284" s="4"/>
      <c r="AA2284" s="4"/>
      <c r="AB2284" s="5"/>
    </row>
    <row r="2285" spans="1:28" x14ac:dyDescent="0.35">
      <c r="A2285" s="3"/>
      <c r="B2285" s="4"/>
      <c r="C2285" s="4"/>
      <c r="D2285" s="4"/>
      <c r="E2285" s="4"/>
      <c r="F2285" s="4"/>
      <c r="G2285" s="4"/>
      <c r="H2285" s="4"/>
      <c r="I2285" s="4"/>
      <c r="J2285" s="4"/>
      <c r="K2285" s="4"/>
      <c r="L2285" s="4"/>
      <c r="M2285" s="4"/>
      <c r="N2285" s="4"/>
      <c r="O2285" s="4"/>
      <c r="P2285" s="4"/>
      <c r="Q2285" s="4"/>
      <c r="R2285" s="4"/>
      <c r="S2285" s="4"/>
      <c r="T2285" s="4"/>
      <c r="U2285" s="4"/>
      <c r="V2285" s="4"/>
      <c r="W2285" s="4"/>
      <c r="X2285" s="4"/>
      <c r="Y2285" s="4"/>
      <c r="Z2285" s="4"/>
      <c r="AA2285" s="4"/>
      <c r="AB2285" s="5"/>
    </row>
    <row r="2286" spans="1:28" x14ac:dyDescent="0.35">
      <c r="A2286" s="3"/>
      <c r="B2286" s="4"/>
      <c r="C2286" s="4"/>
      <c r="D2286" s="4"/>
      <c r="E2286" s="4"/>
      <c r="F2286" s="4"/>
      <c r="G2286" s="4"/>
      <c r="H2286" s="4"/>
      <c r="I2286" s="4"/>
      <c r="J2286" s="4"/>
      <c r="K2286" s="4"/>
      <c r="L2286" s="4"/>
      <c r="M2286" s="4"/>
      <c r="N2286" s="4"/>
      <c r="O2286" s="4"/>
      <c r="P2286" s="4"/>
      <c r="Q2286" s="4"/>
      <c r="R2286" s="4"/>
      <c r="S2286" s="4"/>
      <c r="T2286" s="4"/>
      <c r="U2286" s="4"/>
      <c r="V2286" s="4"/>
      <c r="W2286" s="4"/>
      <c r="X2286" s="4"/>
      <c r="Y2286" s="4"/>
      <c r="Z2286" s="4"/>
      <c r="AA2286" s="4"/>
      <c r="AB2286" s="5"/>
    </row>
    <row r="2287" spans="1:28" x14ac:dyDescent="0.35">
      <c r="A2287" s="3"/>
      <c r="B2287" s="4"/>
      <c r="C2287" s="4"/>
      <c r="D2287" s="4"/>
      <c r="E2287" s="4"/>
      <c r="F2287" s="4"/>
      <c r="G2287" s="4"/>
      <c r="H2287" s="4"/>
      <c r="I2287" s="4"/>
      <c r="J2287" s="4"/>
      <c r="K2287" s="4"/>
      <c r="L2287" s="4"/>
      <c r="M2287" s="4"/>
      <c r="N2287" s="4"/>
      <c r="O2287" s="4"/>
      <c r="P2287" s="4"/>
      <c r="Q2287" s="4"/>
      <c r="R2287" s="4"/>
      <c r="S2287" s="4"/>
      <c r="T2287" s="4"/>
      <c r="U2287" s="4"/>
      <c r="V2287" s="4"/>
      <c r="W2287" s="4"/>
      <c r="X2287" s="4"/>
      <c r="Y2287" s="4"/>
      <c r="Z2287" s="4"/>
      <c r="AA2287" s="4"/>
      <c r="AB2287" s="5"/>
    </row>
    <row r="2288" spans="1:28" x14ac:dyDescent="0.35">
      <c r="A2288" s="3"/>
      <c r="B2288" s="4"/>
      <c r="C2288" s="4"/>
      <c r="D2288" s="4"/>
      <c r="E2288" s="4"/>
      <c r="F2288" s="4"/>
      <c r="G2288" s="4"/>
      <c r="H2288" s="4"/>
      <c r="I2288" s="4"/>
      <c r="J2288" s="4"/>
      <c r="K2288" s="4"/>
      <c r="L2288" s="4"/>
      <c r="M2288" s="4"/>
      <c r="N2288" s="4"/>
      <c r="O2288" s="4"/>
      <c r="P2288" s="4"/>
      <c r="Q2288" s="4"/>
      <c r="R2288" s="4"/>
      <c r="S2288" s="4"/>
      <c r="T2288" s="4"/>
      <c r="U2288" s="4"/>
      <c r="V2288" s="4"/>
      <c r="W2288" s="4"/>
      <c r="X2288" s="4"/>
      <c r="Y2288" s="4"/>
      <c r="Z2288" s="4"/>
      <c r="AA2288" s="4"/>
      <c r="AB2288" s="5"/>
    </row>
    <row r="2289" spans="1:28" x14ac:dyDescent="0.35">
      <c r="A2289" s="3"/>
      <c r="B2289" s="4"/>
      <c r="C2289" s="4"/>
      <c r="D2289" s="4"/>
      <c r="E2289" s="4"/>
      <c r="F2289" s="4"/>
      <c r="G2289" s="4"/>
      <c r="H2289" s="4"/>
      <c r="I2289" s="4"/>
      <c r="J2289" s="4"/>
      <c r="K2289" s="4"/>
      <c r="L2289" s="4"/>
      <c r="M2289" s="4"/>
      <c r="N2289" s="4"/>
      <c r="O2289" s="4"/>
      <c r="P2289" s="4"/>
      <c r="Q2289" s="4"/>
      <c r="R2289" s="4"/>
      <c r="S2289" s="4"/>
      <c r="T2289" s="4"/>
      <c r="U2289" s="4"/>
      <c r="V2289" s="4"/>
      <c r="W2289" s="4"/>
      <c r="X2289" s="4"/>
      <c r="Y2289" s="4"/>
      <c r="Z2289" s="4"/>
      <c r="AA2289" s="4"/>
      <c r="AB2289" s="5"/>
    </row>
    <row r="2290" spans="1:28" x14ac:dyDescent="0.35">
      <c r="A2290" s="3"/>
      <c r="B2290" s="4"/>
      <c r="C2290" s="4"/>
      <c r="D2290" s="4"/>
      <c r="E2290" s="4"/>
      <c r="F2290" s="4"/>
      <c r="G2290" s="4"/>
      <c r="H2290" s="4"/>
      <c r="I2290" s="4"/>
      <c r="J2290" s="4"/>
      <c r="K2290" s="4"/>
      <c r="L2290" s="4"/>
      <c r="M2290" s="4"/>
      <c r="N2290" s="4"/>
      <c r="O2290" s="4"/>
      <c r="P2290" s="4"/>
      <c r="Q2290" s="4"/>
      <c r="R2290" s="4"/>
      <c r="S2290" s="4"/>
      <c r="T2290" s="4"/>
      <c r="U2290" s="4"/>
      <c r="V2290" s="4"/>
      <c r="W2290" s="4"/>
      <c r="X2290" s="4"/>
      <c r="Y2290" s="4"/>
      <c r="Z2290" s="4"/>
      <c r="AA2290" s="4"/>
      <c r="AB2290" s="5"/>
    </row>
    <row r="2291" spans="1:28" x14ac:dyDescent="0.35">
      <c r="A2291" s="3"/>
      <c r="B2291" s="4"/>
      <c r="C2291" s="4"/>
      <c r="D2291" s="4"/>
      <c r="E2291" s="4"/>
      <c r="F2291" s="4"/>
      <c r="G2291" s="4"/>
      <c r="H2291" s="4"/>
      <c r="I2291" s="4"/>
      <c r="J2291" s="4"/>
      <c r="K2291" s="4"/>
      <c r="L2291" s="4"/>
      <c r="M2291" s="4"/>
      <c r="N2291" s="4"/>
      <c r="O2291" s="4"/>
      <c r="P2291" s="4"/>
      <c r="Q2291" s="4"/>
      <c r="R2291" s="4"/>
      <c r="S2291" s="4"/>
      <c r="T2291" s="4"/>
      <c r="U2291" s="4"/>
      <c r="V2291" s="4"/>
      <c r="W2291" s="4"/>
      <c r="X2291" s="4"/>
      <c r="Y2291" s="4"/>
      <c r="Z2291" s="4"/>
      <c r="AA2291" s="4"/>
      <c r="AB2291" s="5"/>
    </row>
    <row r="2292" spans="1:28" x14ac:dyDescent="0.35">
      <c r="A2292" s="3"/>
      <c r="B2292" s="4"/>
      <c r="C2292" s="4"/>
      <c r="D2292" s="4"/>
      <c r="E2292" s="4"/>
      <c r="F2292" s="4"/>
      <c r="G2292" s="4"/>
      <c r="H2292" s="4"/>
      <c r="I2292" s="4"/>
      <c r="J2292" s="4"/>
      <c r="K2292" s="4"/>
      <c r="L2292" s="4"/>
      <c r="M2292" s="4"/>
      <c r="N2292" s="4"/>
      <c r="O2292" s="4"/>
      <c r="P2292" s="4"/>
      <c r="Q2292" s="4"/>
      <c r="R2292" s="4"/>
      <c r="S2292" s="4"/>
      <c r="T2292" s="4"/>
      <c r="U2292" s="4"/>
      <c r="V2292" s="4"/>
      <c r="W2292" s="4"/>
      <c r="X2292" s="4"/>
      <c r="Y2292" s="4"/>
      <c r="Z2292" s="4"/>
      <c r="AA2292" s="4"/>
      <c r="AB2292" s="5"/>
    </row>
    <row r="2293" spans="1:28" x14ac:dyDescent="0.35">
      <c r="A2293" s="3"/>
      <c r="B2293" s="4"/>
      <c r="C2293" s="4"/>
      <c r="D2293" s="4"/>
      <c r="E2293" s="4"/>
      <c r="F2293" s="4"/>
      <c r="G2293" s="4"/>
      <c r="H2293" s="4"/>
      <c r="I2293" s="4"/>
      <c r="J2293" s="4"/>
      <c r="K2293" s="4"/>
      <c r="L2293" s="4"/>
      <c r="M2293" s="4"/>
      <c r="N2293" s="4"/>
      <c r="O2293" s="4"/>
      <c r="P2293" s="4"/>
      <c r="Q2293" s="4"/>
      <c r="R2293" s="4"/>
      <c r="S2293" s="4"/>
      <c r="T2293" s="4"/>
      <c r="U2293" s="4"/>
      <c r="V2293" s="4"/>
      <c r="W2293" s="4"/>
      <c r="X2293" s="4"/>
      <c r="Y2293" s="4"/>
      <c r="Z2293" s="4"/>
      <c r="AA2293" s="4"/>
      <c r="AB2293" s="5"/>
    </row>
    <row r="2294" spans="1:28" x14ac:dyDescent="0.35">
      <c r="A2294" s="3"/>
      <c r="B2294" s="4"/>
      <c r="C2294" s="4"/>
      <c r="D2294" s="4"/>
      <c r="E2294" s="4"/>
      <c r="F2294" s="4"/>
      <c r="G2294" s="4"/>
      <c r="H2294" s="4"/>
      <c r="I2294" s="4"/>
      <c r="J2294" s="4"/>
      <c r="K2294" s="4"/>
      <c r="L2294" s="4"/>
      <c r="M2294" s="4"/>
      <c r="N2294" s="4"/>
      <c r="O2294" s="4"/>
      <c r="P2294" s="4"/>
      <c r="Q2294" s="4"/>
      <c r="R2294" s="4"/>
      <c r="S2294" s="4"/>
      <c r="T2294" s="4"/>
      <c r="U2294" s="4"/>
      <c r="V2294" s="4"/>
      <c r="W2294" s="4"/>
      <c r="X2294" s="4"/>
      <c r="Y2294" s="4"/>
      <c r="Z2294" s="4"/>
      <c r="AA2294" s="4"/>
      <c r="AB2294" s="5"/>
    </row>
    <row r="2295" spans="1:28" x14ac:dyDescent="0.35">
      <c r="A2295" s="3"/>
      <c r="B2295" s="4"/>
      <c r="C2295" s="4"/>
      <c r="D2295" s="4"/>
      <c r="E2295" s="4"/>
      <c r="F2295" s="4"/>
      <c r="G2295" s="4"/>
      <c r="H2295" s="4"/>
      <c r="I2295" s="4"/>
      <c r="J2295" s="4"/>
      <c r="K2295" s="4"/>
      <c r="L2295" s="4"/>
      <c r="M2295" s="4"/>
      <c r="N2295" s="4"/>
      <c r="O2295" s="4"/>
      <c r="P2295" s="4"/>
      <c r="Q2295" s="4"/>
      <c r="R2295" s="4"/>
      <c r="S2295" s="4"/>
      <c r="T2295" s="4"/>
      <c r="U2295" s="4"/>
      <c r="V2295" s="4"/>
      <c r="W2295" s="4"/>
      <c r="X2295" s="4"/>
      <c r="Y2295" s="4"/>
      <c r="Z2295" s="4"/>
      <c r="AA2295" s="4"/>
      <c r="AB2295" s="5"/>
    </row>
    <row r="2296" spans="1:28" x14ac:dyDescent="0.35">
      <c r="A2296" s="3"/>
      <c r="B2296" s="4"/>
      <c r="C2296" s="4"/>
      <c r="D2296" s="4"/>
      <c r="E2296" s="4"/>
      <c r="F2296" s="4"/>
      <c r="G2296" s="4"/>
      <c r="H2296" s="4"/>
      <c r="I2296" s="4"/>
      <c r="J2296" s="4"/>
      <c r="K2296" s="4"/>
      <c r="L2296" s="4"/>
      <c r="M2296" s="4"/>
      <c r="N2296" s="4"/>
      <c r="O2296" s="4"/>
      <c r="P2296" s="4"/>
      <c r="Q2296" s="4"/>
      <c r="R2296" s="4"/>
      <c r="S2296" s="4"/>
      <c r="T2296" s="4"/>
      <c r="U2296" s="4"/>
      <c r="V2296" s="4"/>
      <c r="W2296" s="4"/>
      <c r="X2296" s="4"/>
      <c r="Y2296" s="4"/>
      <c r="Z2296" s="4"/>
      <c r="AA2296" s="4"/>
      <c r="AB2296" s="5"/>
    </row>
    <row r="2297" spans="1:28" x14ac:dyDescent="0.35">
      <c r="A2297" s="3"/>
      <c r="B2297" s="4"/>
      <c r="C2297" s="4"/>
      <c r="D2297" s="4"/>
      <c r="E2297" s="4"/>
      <c r="F2297" s="4"/>
      <c r="G2297" s="4"/>
      <c r="H2297" s="4"/>
      <c r="I2297" s="4"/>
      <c r="J2297" s="4"/>
      <c r="K2297" s="4"/>
      <c r="L2297" s="4"/>
      <c r="M2297" s="4"/>
      <c r="N2297" s="4"/>
      <c r="O2297" s="4"/>
      <c r="P2297" s="4"/>
      <c r="Q2297" s="4"/>
      <c r="R2297" s="4"/>
      <c r="S2297" s="4"/>
      <c r="T2297" s="4"/>
      <c r="U2297" s="4"/>
      <c r="V2297" s="4"/>
      <c r="W2297" s="4"/>
      <c r="X2297" s="4"/>
      <c r="Y2297" s="4"/>
      <c r="Z2297" s="4"/>
      <c r="AA2297" s="4"/>
      <c r="AB2297" s="5"/>
    </row>
    <row r="2298" spans="1:28" x14ac:dyDescent="0.35">
      <c r="A2298" s="3"/>
      <c r="B2298" s="4"/>
      <c r="C2298" s="4"/>
      <c r="D2298" s="4"/>
      <c r="E2298" s="4"/>
      <c r="F2298" s="4"/>
      <c r="G2298" s="4"/>
      <c r="H2298" s="4"/>
      <c r="I2298" s="4"/>
      <c r="J2298" s="4"/>
      <c r="K2298" s="4"/>
      <c r="L2298" s="4"/>
      <c r="M2298" s="4"/>
      <c r="N2298" s="4"/>
      <c r="O2298" s="4"/>
      <c r="P2298" s="4"/>
      <c r="Q2298" s="4"/>
      <c r="R2298" s="4"/>
      <c r="S2298" s="4"/>
      <c r="T2298" s="4"/>
      <c r="U2298" s="4"/>
      <c r="V2298" s="4"/>
      <c r="W2298" s="4"/>
      <c r="X2298" s="4"/>
      <c r="Y2298" s="4"/>
      <c r="Z2298" s="4"/>
      <c r="AA2298" s="4"/>
      <c r="AB2298" s="5"/>
    </row>
    <row r="2299" spans="1:28" x14ac:dyDescent="0.35">
      <c r="A2299" s="3"/>
      <c r="B2299" s="4"/>
      <c r="C2299" s="4"/>
      <c r="D2299" s="4"/>
      <c r="E2299" s="4"/>
      <c r="F2299" s="4"/>
      <c r="G2299" s="4"/>
      <c r="H2299" s="4"/>
      <c r="I2299" s="4"/>
      <c r="J2299" s="4"/>
      <c r="K2299" s="4"/>
      <c r="L2299" s="4"/>
      <c r="M2299" s="4"/>
      <c r="N2299" s="4"/>
      <c r="O2299" s="4"/>
      <c r="P2299" s="4"/>
      <c r="Q2299" s="4"/>
      <c r="R2299" s="4"/>
      <c r="S2299" s="4"/>
      <c r="T2299" s="4"/>
      <c r="U2299" s="4"/>
      <c r="V2299" s="4"/>
      <c r="W2299" s="4"/>
      <c r="X2299" s="4"/>
      <c r="Y2299" s="4"/>
      <c r="Z2299" s="4"/>
      <c r="AA2299" s="4"/>
      <c r="AB2299" s="5"/>
    </row>
    <row r="2300" spans="1:28" x14ac:dyDescent="0.35">
      <c r="A2300" s="3"/>
      <c r="B2300" s="4"/>
      <c r="C2300" s="4"/>
      <c r="D2300" s="4"/>
      <c r="E2300" s="4"/>
      <c r="F2300" s="4"/>
      <c r="G2300" s="4"/>
      <c r="H2300" s="4"/>
      <c r="I2300" s="4"/>
      <c r="J2300" s="4"/>
      <c r="K2300" s="4"/>
      <c r="L2300" s="4"/>
      <c r="M2300" s="4"/>
      <c r="N2300" s="4"/>
      <c r="O2300" s="4"/>
      <c r="P2300" s="4"/>
      <c r="Q2300" s="4"/>
      <c r="R2300" s="4"/>
      <c r="S2300" s="4"/>
      <c r="T2300" s="4"/>
      <c r="U2300" s="4"/>
      <c r="V2300" s="4"/>
      <c r="W2300" s="4"/>
      <c r="X2300" s="4"/>
      <c r="Y2300" s="4"/>
      <c r="Z2300" s="4"/>
      <c r="AA2300" s="4"/>
      <c r="AB2300" s="5"/>
    </row>
    <row r="2301" spans="1:28" x14ac:dyDescent="0.35">
      <c r="A2301" s="3"/>
      <c r="B2301" s="4"/>
      <c r="C2301" s="4"/>
      <c r="D2301" s="4"/>
      <c r="E2301" s="4"/>
      <c r="F2301" s="4"/>
      <c r="G2301" s="4"/>
      <c r="H2301" s="4"/>
      <c r="I2301" s="4"/>
      <c r="J2301" s="4"/>
      <c r="K2301" s="4"/>
      <c r="L2301" s="4"/>
      <c r="M2301" s="4"/>
      <c r="N2301" s="4"/>
      <c r="O2301" s="4"/>
      <c r="P2301" s="4"/>
      <c r="Q2301" s="4"/>
      <c r="R2301" s="4"/>
      <c r="S2301" s="4"/>
      <c r="T2301" s="4"/>
      <c r="U2301" s="4"/>
      <c r="V2301" s="4"/>
      <c r="W2301" s="4"/>
      <c r="X2301" s="4"/>
      <c r="Y2301" s="4"/>
      <c r="Z2301" s="4"/>
      <c r="AA2301" s="4"/>
      <c r="AB2301" s="5"/>
    </row>
    <row r="2302" spans="1:28" x14ac:dyDescent="0.35">
      <c r="A2302" s="3"/>
      <c r="B2302" s="4"/>
      <c r="C2302" s="4"/>
      <c r="D2302" s="4"/>
      <c r="E2302" s="4"/>
      <c r="F2302" s="4"/>
      <c r="G2302" s="4"/>
      <c r="H2302" s="4"/>
      <c r="I2302" s="4"/>
      <c r="J2302" s="4"/>
      <c r="K2302" s="4"/>
      <c r="L2302" s="4"/>
      <c r="M2302" s="4"/>
      <c r="N2302" s="4"/>
      <c r="O2302" s="4"/>
      <c r="P2302" s="4"/>
      <c r="Q2302" s="4"/>
      <c r="R2302" s="4"/>
      <c r="S2302" s="4"/>
      <c r="T2302" s="4"/>
      <c r="U2302" s="4"/>
      <c r="V2302" s="4"/>
      <c r="W2302" s="4"/>
      <c r="X2302" s="4"/>
      <c r="Y2302" s="4"/>
      <c r="Z2302" s="4"/>
      <c r="AA2302" s="4"/>
      <c r="AB2302" s="5"/>
    </row>
    <row r="2303" spans="1:28" x14ac:dyDescent="0.35">
      <c r="A2303" s="3"/>
      <c r="B2303" s="4"/>
      <c r="C2303" s="4"/>
      <c r="D2303" s="4"/>
      <c r="E2303" s="4"/>
      <c r="F2303" s="4"/>
      <c r="G2303" s="4"/>
      <c r="H2303" s="4"/>
      <c r="I2303" s="4"/>
      <c r="J2303" s="4"/>
      <c r="K2303" s="4"/>
      <c r="L2303" s="4"/>
      <c r="M2303" s="4"/>
      <c r="N2303" s="4"/>
      <c r="O2303" s="4"/>
      <c r="P2303" s="4"/>
      <c r="Q2303" s="4"/>
      <c r="R2303" s="4"/>
      <c r="S2303" s="4"/>
      <c r="T2303" s="4"/>
      <c r="U2303" s="4"/>
      <c r="V2303" s="4"/>
      <c r="W2303" s="4"/>
      <c r="X2303" s="4"/>
      <c r="Y2303" s="4"/>
      <c r="Z2303" s="4"/>
      <c r="AA2303" s="4"/>
      <c r="AB2303" s="5"/>
    </row>
    <row r="2304" spans="1:28" x14ac:dyDescent="0.35">
      <c r="A2304" s="3"/>
      <c r="B2304" s="4"/>
      <c r="C2304" s="4"/>
      <c r="D2304" s="4"/>
      <c r="E2304" s="4"/>
      <c r="F2304" s="4"/>
      <c r="G2304" s="4"/>
      <c r="H2304" s="4"/>
      <c r="I2304" s="4"/>
      <c r="J2304" s="4"/>
      <c r="K2304" s="4"/>
      <c r="L2304" s="4"/>
      <c r="M2304" s="4"/>
      <c r="N2304" s="4"/>
      <c r="O2304" s="4"/>
      <c r="P2304" s="4"/>
      <c r="Q2304" s="4"/>
      <c r="R2304" s="4"/>
      <c r="S2304" s="4"/>
      <c r="T2304" s="4"/>
      <c r="U2304" s="4"/>
      <c r="V2304" s="4"/>
      <c r="W2304" s="4"/>
      <c r="X2304" s="4"/>
      <c r="Y2304" s="4"/>
      <c r="Z2304" s="4"/>
      <c r="AA2304" s="4"/>
      <c r="AB2304" s="5"/>
    </row>
    <row r="2305" spans="1:28" x14ac:dyDescent="0.35">
      <c r="A2305" s="3"/>
      <c r="B2305" s="4"/>
      <c r="C2305" s="4"/>
      <c r="D2305" s="4"/>
      <c r="E2305" s="4"/>
      <c r="F2305" s="4"/>
      <c r="G2305" s="4"/>
      <c r="H2305" s="4"/>
      <c r="I2305" s="4"/>
      <c r="J2305" s="4"/>
      <c r="K2305" s="4"/>
      <c r="L2305" s="4"/>
      <c r="M2305" s="4"/>
      <c r="N2305" s="4"/>
      <c r="O2305" s="4"/>
      <c r="P2305" s="4"/>
      <c r="Q2305" s="4"/>
      <c r="R2305" s="4"/>
      <c r="S2305" s="4"/>
      <c r="T2305" s="4"/>
      <c r="U2305" s="4"/>
      <c r="V2305" s="4"/>
      <c r="W2305" s="4"/>
      <c r="X2305" s="4"/>
      <c r="Y2305" s="4"/>
      <c r="Z2305" s="4"/>
      <c r="AA2305" s="4"/>
      <c r="AB2305" s="5"/>
    </row>
    <row r="2306" spans="1:28" x14ac:dyDescent="0.35">
      <c r="A2306" s="3"/>
      <c r="B2306" s="4"/>
      <c r="C2306" s="4"/>
      <c r="D2306" s="4"/>
      <c r="E2306" s="4"/>
      <c r="F2306" s="4"/>
      <c r="G2306" s="4"/>
      <c r="H2306" s="4"/>
      <c r="I2306" s="4"/>
      <c r="J2306" s="4"/>
      <c r="K2306" s="4"/>
      <c r="L2306" s="4"/>
      <c r="M2306" s="4"/>
      <c r="N2306" s="4"/>
      <c r="O2306" s="4"/>
      <c r="P2306" s="4"/>
      <c r="Q2306" s="4"/>
      <c r="R2306" s="4"/>
      <c r="S2306" s="4"/>
      <c r="T2306" s="4"/>
      <c r="U2306" s="4"/>
      <c r="V2306" s="4"/>
      <c r="W2306" s="4"/>
      <c r="X2306" s="4"/>
      <c r="Y2306" s="4"/>
      <c r="Z2306" s="4"/>
      <c r="AA2306" s="4"/>
      <c r="AB2306" s="5"/>
    </row>
    <row r="2307" spans="1:28" x14ac:dyDescent="0.35">
      <c r="A2307" s="3"/>
      <c r="B2307" s="4"/>
      <c r="C2307" s="4"/>
      <c r="D2307" s="4"/>
      <c r="E2307" s="4"/>
      <c r="F2307" s="4"/>
      <c r="G2307" s="4"/>
      <c r="H2307" s="4"/>
      <c r="I2307" s="4"/>
      <c r="J2307" s="4"/>
      <c r="K2307" s="4"/>
      <c r="L2307" s="4"/>
      <c r="M2307" s="4"/>
      <c r="N2307" s="4"/>
      <c r="O2307" s="4"/>
      <c r="P2307" s="4"/>
      <c r="Q2307" s="4"/>
      <c r="R2307" s="4"/>
      <c r="S2307" s="4"/>
      <c r="T2307" s="4"/>
      <c r="U2307" s="4"/>
      <c r="V2307" s="4"/>
      <c r="W2307" s="4"/>
      <c r="X2307" s="4"/>
      <c r="Y2307" s="4"/>
      <c r="Z2307" s="4"/>
      <c r="AA2307" s="4"/>
      <c r="AB2307" s="5"/>
    </row>
    <row r="2308" spans="1:28" x14ac:dyDescent="0.35">
      <c r="A2308" s="3"/>
      <c r="B2308" s="4"/>
      <c r="C2308" s="4"/>
      <c r="D2308" s="4"/>
      <c r="E2308" s="4"/>
      <c r="F2308" s="4"/>
      <c r="G2308" s="4"/>
      <c r="H2308" s="4"/>
      <c r="I2308" s="4"/>
      <c r="J2308" s="4"/>
      <c r="K2308" s="4"/>
      <c r="L2308" s="4"/>
      <c r="M2308" s="4"/>
      <c r="N2308" s="4"/>
      <c r="O2308" s="4"/>
      <c r="P2308" s="4"/>
      <c r="Q2308" s="4"/>
      <c r="R2308" s="4"/>
      <c r="S2308" s="4"/>
      <c r="T2308" s="4"/>
      <c r="U2308" s="4"/>
      <c r="V2308" s="4"/>
      <c r="W2308" s="4"/>
      <c r="X2308" s="4"/>
      <c r="Y2308" s="4"/>
      <c r="Z2308" s="4"/>
      <c r="AA2308" s="4"/>
      <c r="AB2308" s="5"/>
    </row>
    <row r="2309" spans="1:28" x14ac:dyDescent="0.35">
      <c r="A2309" s="3"/>
      <c r="B2309" s="4"/>
      <c r="C2309" s="4"/>
      <c r="D2309" s="4"/>
      <c r="E2309" s="4"/>
      <c r="F2309" s="4"/>
      <c r="G2309" s="4"/>
      <c r="H2309" s="4"/>
      <c r="I2309" s="4"/>
      <c r="J2309" s="4"/>
      <c r="K2309" s="4"/>
      <c r="L2309" s="4"/>
      <c r="M2309" s="4"/>
      <c r="N2309" s="4"/>
      <c r="O2309" s="4"/>
      <c r="P2309" s="4"/>
      <c r="Q2309" s="4"/>
      <c r="R2309" s="4"/>
      <c r="S2309" s="4"/>
      <c r="T2309" s="4"/>
      <c r="U2309" s="4"/>
      <c r="V2309" s="4"/>
      <c r="W2309" s="4"/>
      <c r="X2309" s="4"/>
      <c r="Y2309" s="4"/>
      <c r="Z2309" s="4"/>
      <c r="AA2309" s="4"/>
      <c r="AB2309" s="5"/>
    </row>
    <row r="2310" spans="1:28" x14ac:dyDescent="0.35">
      <c r="A2310" s="3"/>
      <c r="B2310" s="4"/>
      <c r="C2310" s="4"/>
      <c r="D2310" s="4"/>
      <c r="E2310" s="4"/>
      <c r="F2310" s="4"/>
      <c r="G2310" s="4"/>
      <c r="H2310" s="4"/>
      <c r="I2310" s="4"/>
      <c r="J2310" s="4"/>
      <c r="K2310" s="4"/>
      <c r="L2310" s="4"/>
      <c r="M2310" s="4"/>
      <c r="N2310" s="4"/>
      <c r="O2310" s="4"/>
      <c r="P2310" s="4"/>
      <c r="Q2310" s="4"/>
      <c r="R2310" s="4"/>
      <c r="S2310" s="4"/>
      <c r="T2310" s="4"/>
      <c r="U2310" s="4"/>
      <c r="V2310" s="4"/>
      <c r="W2310" s="4"/>
      <c r="X2310" s="4"/>
      <c r="Y2310" s="4"/>
      <c r="Z2310" s="4"/>
      <c r="AA2310" s="4"/>
      <c r="AB2310" s="5"/>
    </row>
    <row r="2311" spans="1:28" x14ac:dyDescent="0.35">
      <c r="A2311" s="3"/>
      <c r="B2311" s="4"/>
      <c r="C2311" s="4"/>
      <c r="D2311" s="4"/>
      <c r="E2311" s="4"/>
      <c r="F2311" s="4"/>
      <c r="G2311" s="4"/>
      <c r="H2311" s="4"/>
      <c r="I2311" s="4"/>
      <c r="J2311" s="4"/>
      <c r="K2311" s="4"/>
      <c r="L2311" s="4"/>
      <c r="M2311" s="4"/>
      <c r="N2311" s="4"/>
      <c r="O2311" s="4"/>
      <c r="P2311" s="4"/>
      <c r="Q2311" s="4"/>
      <c r="R2311" s="4"/>
      <c r="S2311" s="4"/>
      <c r="T2311" s="4"/>
      <c r="U2311" s="4"/>
      <c r="V2311" s="4"/>
      <c r="W2311" s="4"/>
      <c r="X2311" s="4"/>
      <c r="Y2311" s="4"/>
      <c r="Z2311" s="4"/>
      <c r="AA2311" s="4"/>
      <c r="AB2311" s="5"/>
    </row>
    <row r="2312" spans="1:28" x14ac:dyDescent="0.35">
      <c r="A2312" s="3"/>
      <c r="B2312" s="4"/>
      <c r="C2312" s="4"/>
      <c r="D2312" s="4"/>
      <c r="E2312" s="4"/>
      <c r="F2312" s="4"/>
      <c r="G2312" s="4"/>
      <c r="H2312" s="4"/>
      <c r="I2312" s="4"/>
      <c r="J2312" s="4"/>
      <c r="K2312" s="4"/>
      <c r="L2312" s="4"/>
      <c r="M2312" s="4"/>
      <c r="N2312" s="4"/>
      <c r="O2312" s="4"/>
      <c r="P2312" s="4"/>
      <c r="Q2312" s="4"/>
      <c r="R2312" s="4"/>
      <c r="S2312" s="4"/>
      <c r="T2312" s="4"/>
      <c r="U2312" s="4"/>
      <c r="V2312" s="4"/>
      <c r="W2312" s="4"/>
      <c r="X2312" s="4"/>
      <c r="Y2312" s="4"/>
      <c r="Z2312" s="4"/>
      <c r="AA2312" s="4"/>
      <c r="AB2312" s="5"/>
    </row>
    <row r="2313" spans="1:28" x14ac:dyDescent="0.35">
      <c r="A2313" s="3"/>
      <c r="B2313" s="4"/>
      <c r="C2313" s="4"/>
      <c r="D2313" s="4"/>
      <c r="E2313" s="4"/>
      <c r="F2313" s="4"/>
      <c r="G2313" s="4"/>
      <c r="H2313" s="4"/>
      <c r="I2313" s="4"/>
      <c r="J2313" s="4"/>
      <c r="K2313" s="4"/>
      <c r="L2313" s="4"/>
      <c r="M2313" s="4"/>
      <c r="N2313" s="4"/>
      <c r="O2313" s="4"/>
      <c r="P2313" s="4"/>
      <c r="Q2313" s="4"/>
      <c r="R2313" s="4"/>
      <c r="S2313" s="4"/>
      <c r="T2313" s="4"/>
      <c r="U2313" s="4"/>
      <c r="V2313" s="4"/>
      <c r="W2313" s="4"/>
      <c r="X2313" s="4"/>
      <c r="Y2313" s="4"/>
      <c r="Z2313" s="4"/>
      <c r="AA2313" s="4"/>
      <c r="AB2313" s="5"/>
    </row>
    <row r="2314" spans="1:28" x14ac:dyDescent="0.35">
      <c r="A2314" s="3"/>
      <c r="B2314" s="4"/>
      <c r="C2314" s="4"/>
      <c r="D2314" s="4"/>
      <c r="E2314" s="4"/>
      <c r="F2314" s="4"/>
      <c r="G2314" s="4"/>
      <c r="H2314" s="4"/>
      <c r="I2314" s="4"/>
      <c r="J2314" s="4"/>
      <c r="K2314" s="4"/>
      <c r="L2314" s="4"/>
      <c r="M2314" s="4"/>
      <c r="N2314" s="4"/>
      <c r="O2314" s="4"/>
      <c r="P2314" s="4"/>
      <c r="Q2314" s="4"/>
      <c r="R2314" s="4"/>
      <c r="S2314" s="4"/>
      <c r="T2314" s="4"/>
      <c r="U2314" s="4"/>
      <c r="V2314" s="4"/>
      <c r="W2314" s="4"/>
      <c r="X2314" s="4"/>
      <c r="Y2314" s="4"/>
      <c r="Z2314" s="4"/>
      <c r="AA2314" s="4"/>
      <c r="AB2314" s="5"/>
    </row>
    <row r="2315" spans="1:28" x14ac:dyDescent="0.35">
      <c r="A2315" s="3"/>
      <c r="B2315" s="4"/>
      <c r="C2315" s="4"/>
      <c r="D2315" s="4"/>
      <c r="E2315" s="4"/>
      <c r="F2315" s="4"/>
      <c r="G2315" s="4"/>
      <c r="H2315" s="4"/>
      <c r="I2315" s="4"/>
      <c r="J2315" s="4"/>
      <c r="K2315" s="4"/>
      <c r="L2315" s="4"/>
      <c r="M2315" s="4"/>
      <c r="N2315" s="4"/>
      <c r="O2315" s="4"/>
      <c r="P2315" s="4"/>
      <c r="Q2315" s="4"/>
      <c r="R2315" s="4"/>
      <c r="S2315" s="4"/>
      <c r="T2315" s="4"/>
      <c r="U2315" s="4"/>
      <c r="V2315" s="4"/>
      <c r="W2315" s="4"/>
      <c r="X2315" s="4"/>
      <c r="Y2315" s="4"/>
      <c r="Z2315" s="4"/>
      <c r="AA2315" s="4"/>
      <c r="AB2315" s="5"/>
    </row>
    <row r="2316" spans="1:28" x14ac:dyDescent="0.35">
      <c r="A2316" s="3"/>
      <c r="B2316" s="4"/>
      <c r="C2316" s="4"/>
      <c r="D2316" s="4"/>
      <c r="E2316" s="4"/>
      <c r="F2316" s="4"/>
      <c r="G2316" s="4"/>
      <c r="H2316" s="4"/>
      <c r="I2316" s="4"/>
      <c r="J2316" s="4"/>
      <c r="K2316" s="4"/>
      <c r="L2316" s="4"/>
      <c r="M2316" s="4"/>
      <c r="N2316" s="4"/>
      <c r="O2316" s="4"/>
      <c r="P2316" s="4"/>
      <c r="Q2316" s="4"/>
      <c r="R2316" s="4"/>
      <c r="S2316" s="4"/>
      <c r="T2316" s="4"/>
      <c r="U2316" s="4"/>
      <c r="V2316" s="4"/>
      <c r="W2316" s="4"/>
      <c r="X2316" s="4"/>
      <c r="Y2316" s="4"/>
      <c r="Z2316" s="4"/>
      <c r="AA2316" s="4"/>
      <c r="AB2316" s="5"/>
    </row>
    <row r="2317" spans="1:28" x14ac:dyDescent="0.35">
      <c r="A2317" s="3"/>
      <c r="B2317" s="4"/>
      <c r="C2317" s="4"/>
      <c r="D2317" s="4"/>
      <c r="E2317" s="4"/>
      <c r="F2317" s="4"/>
      <c r="G2317" s="4"/>
      <c r="H2317" s="4"/>
      <c r="I2317" s="4"/>
      <c r="J2317" s="4"/>
      <c r="K2317" s="4"/>
      <c r="L2317" s="4"/>
      <c r="M2317" s="4"/>
      <c r="N2317" s="4"/>
      <c r="O2317" s="4"/>
      <c r="P2317" s="4"/>
      <c r="Q2317" s="4"/>
      <c r="R2317" s="4"/>
      <c r="S2317" s="4"/>
      <c r="T2317" s="4"/>
      <c r="U2317" s="4"/>
      <c r="V2317" s="4"/>
      <c r="W2317" s="4"/>
      <c r="X2317" s="4"/>
      <c r="Y2317" s="4"/>
      <c r="Z2317" s="4"/>
      <c r="AA2317" s="4"/>
      <c r="AB2317" s="5"/>
    </row>
    <row r="2318" spans="1:28" x14ac:dyDescent="0.35">
      <c r="A2318" s="3"/>
      <c r="B2318" s="4"/>
      <c r="C2318" s="4"/>
      <c r="D2318" s="4"/>
      <c r="E2318" s="4"/>
      <c r="F2318" s="4"/>
      <c r="G2318" s="4"/>
      <c r="H2318" s="4"/>
      <c r="I2318" s="4"/>
      <c r="J2318" s="4"/>
      <c r="K2318" s="4"/>
      <c r="L2318" s="4"/>
      <c r="M2318" s="4"/>
      <c r="N2318" s="4"/>
      <c r="O2318" s="4"/>
      <c r="P2318" s="4"/>
      <c r="Q2318" s="4"/>
      <c r="R2318" s="4"/>
      <c r="S2318" s="4"/>
      <c r="T2318" s="4"/>
      <c r="U2318" s="4"/>
      <c r="V2318" s="4"/>
      <c r="W2318" s="4"/>
      <c r="X2318" s="4"/>
      <c r="Y2318" s="4"/>
      <c r="Z2318" s="4"/>
      <c r="AA2318" s="4"/>
      <c r="AB2318" s="5"/>
    </row>
    <row r="2319" spans="1:28" x14ac:dyDescent="0.35">
      <c r="A2319" s="3"/>
      <c r="B2319" s="4"/>
      <c r="C2319" s="4"/>
      <c r="D2319" s="4"/>
      <c r="E2319" s="4"/>
      <c r="F2319" s="4"/>
      <c r="G2319" s="4"/>
      <c r="H2319" s="4"/>
      <c r="I2319" s="4"/>
      <c r="J2319" s="4"/>
      <c r="K2319" s="4"/>
      <c r="L2319" s="4"/>
      <c r="M2319" s="4"/>
      <c r="N2319" s="4"/>
      <c r="O2319" s="4"/>
      <c r="P2319" s="4"/>
      <c r="Q2319" s="4"/>
      <c r="R2319" s="4"/>
      <c r="S2319" s="4"/>
      <c r="T2319" s="4"/>
      <c r="U2319" s="4"/>
      <c r="V2319" s="4"/>
      <c r="W2319" s="4"/>
      <c r="X2319" s="4"/>
      <c r="Y2319" s="4"/>
      <c r="Z2319" s="4"/>
      <c r="AA2319" s="4"/>
      <c r="AB2319" s="5"/>
    </row>
    <row r="2320" spans="1:28" x14ac:dyDescent="0.35">
      <c r="A2320" s="3"/>
      <c r="B2320" s="4"/>
      <c r="C2320" s="4"/>
      <c r="D2320" s="4"/>
      <c r="E2320" s="4"/>
      <c r="F2320" s="4"/>
      <c r="G2320" s="4"/>
      <c r="H2320" s="4"/>
      <c r="I2320" s="4"/>
      <c r="J2320" s="4"/>
      <c r="K2320" s="4"/>
      <c r="L2320" s="4"/>
      <c r="M2320" s="4"/>
      <c r="N2320" s="4"/>
      <c r="O2320" s="4"/>
      <c r="P2320" s="4"/>
      <c r="Q2320" s="4"/>
      <c r="R2320" s="4"/>
      <c r="S2320" s="4"/>
      <c r="T2320" s="4"/>
      <c r="U2320" s="4"/>
      <c r="V2320" s="4"/>
      <c r="W2320" s="4"/>
      <c r="X2320" s="4"/>
      <c r="Y2320" s="4"/>
      <c r="Z2320" s="4"/>
      <c r="AA2320" s="4"/>
      <c r="AB2320" s="5"/>
    </row>
    <row r="2321" spans="1:28" x14ac:dyDescent="0.35">
      <c r="A2321" s="3"/>
      <c r="B2321" s="4"/>
      <c r="C2321" s="4"/>
      <c r="D2321" s="4"/>
      <c r="E2321" s="4"/>
      <c r="F2321" s="4"/>
      <c r="G2321" s="4"/>
      <c r="H2321" s="4"/>
      <c r="I2321" s="4"/>
      <c r="J2321" s="4"/>
      <c r="K2321" s="4"/>
      <c r="L2321" s="4"/>
      <c r="M2321" s="4"/>
      <c r="N2321" s="4"/>
      <c r="O2321" s="4"/>
      <c r="P2321" s="4"/>
      <c r="Q2321" s="4"/>
      <c r="R2321" s="4"/>
      <c r="S2321" s="4"/>
      <c r="T2321" s="4"/>
      <c r="U2321" s="4"/>
      <c r="V2321" s="4"/>
      <c r="W2321" s="4"/>
      <c r="X2321" s="4"/>
      <c r="Y2321" s="4"/>
      <c r="Z2321" s="4"/>
      <c r="AA2321" s="4"/>
      <c r="AB2321" s="5"/>
    </row>
    <row r="2322" spans="1:28" x14ac:dyDescent="0.35">
      <c r="A2322" s="3"/>
      <c r="B2322" s="4"/>
      <c r="C2322" s="4"/>
      <c r="D2322" s="4"/>
      <c r="E2322" s="4"/>
      <c r="F2322" s="4"/>
      <c r="G2322" s="4"/>
      <c r="H2322" s="4"/>
      <c r="I2322" s="4"/>
      <c r="J2322" s="4"/>
      <c r="K2322" s="4"/>
      <c r="L2322" s="4"/>
      <c r="M2322" s="4"/>
      <c r="N2322" s="4"/>
      <c r="O2322" s="4"/>
      <c r="P2322" s="4"/>
      <c r="Q2322" s="4"/>
      <c r="R2322" s="4"/>
      <c r="S2322" s="4"/>
      <c r="T2322" s="4"/>
      <c r="U2322" s="4"/>
      <c r="V2322" s="4"/>
      <c r="W2322" s="4"/>
      <c r="X2322" s="4"/>
      <c r="Y2322" s="4"/>
      <c r="Z2322" s="4"/>
      <c r="AA2322" s="4"/>
      <c r="AB2322" s="5"/>
    </row>
    <row r="2323" spans="1:28" x14ac:dyDescent="0.35">
      <c r="A2323" s="3"/>
      <c r="B2323" s="4"/>
      <c r="C2323" s="4"/>
      <c r="D2323" s="4"/>
      <c r="E2323" s="4"/>
      <c r="F2323" s="4"/>
      <c r="G2323" s="4"/>
      <c r="H2323" s="4"/>
      <c r="I2323" s="4"/>
      <c r="J2323" s="4"/>
      <c r="K2323" s="4"/>
      <c r="L2323" s="4"/>
      <c r="M2323" s="4"/>
      <c r="N2323" s="4"/>
      <c r="O2323" s="4"/>
      <c r="P2323" s="4"/>
      <c r="Q2323" s="4"/>
      <c r="R2323" s="4"/>
      <c r="S2323" s="4"/>
      <c r="T2323" s="4"/>
      <c r="U2323" s="4"/>
      <c r="V2323" s="4"/>
      <c r="W2323" s="4"/>
      <c r="X2323" s="4"/>
      <c r="Y2323" s="4"/>
      <c r="Z2323" s="4"/>
      <c r="AA2323" s="4"/>
      <c r="AB2323" s="5"/>
    </row>
    <row r="2324" spans="1:28" x14ac:dyDescent="0.35">
      <c r="A2324" s="3"/>
      <c r="B2324" s="4"/>
      <c r="C2324" s="4"/>
      <c r="D2324" s="4"/>
      <c r="E2324" s="4"/>
      <c r="F2324" s="4"/>
      <c r="G2324" s="4"/>
      <c r="H2324" s="4"/>
      <c r="I2324" s="4"/>
      <c r="J2324" s="4"/>
      <c r="K2324" s="4"/>
      <c r="L2324" s="4"/>
      <c r="M2324" s="4"/>
      <c r="N2324" s="4"/>
      <c r="O2324" s="4"/>
      <c r="P2324" s="4"/>
      <c r="Q2324" s="4"/>
      <c r="R2324" s="4"/>
      <c r="S2324" s="4"/>
      <c r="T2324" s="4"/>
      <c r="U2324" s="4"/>
      <c r="V2324" s="4"/>
      <c r="W2324" s="4"/>
      <c r="X2324" s="4"/>
      <c r="Y2324" s="4"/>
      <c r="Z2324" s="4"/>
      <c r="AA2324" s="4"/>
      <c r="AB2324" s="5"/>
    </row>
    <row r="2325" spans="1:28" x14ac:dyDescent="0.35">
      <c r="A2325" s="3"/>
      <c r="B2325" s="4"/>
      <c r="C2325" s="4"/>
      <c r="D2325" s="4"/>
      <c r="E2325" s="4"/>
      <c r="F2325" s="4"/>
      <c r="G2325" s="4"/>
      <c r="H2325" s="4"/>
      <c r="I2325" s="4"/>
      <c r="J2325" s="4"/>
      <c r="K2325" s="4"/>
      <c r="L2325" s="4"/>
      <c r="M2325" s="4"/>
      <c r="N2325" s="4"/>
      <c r="O2325" s="4"/>
      <c r="P2325" s="4"/>
      <c r="Q2325" s="4"/>
      <c r="R2325" s="4"/>
      <c r="S2325" s="4"/>
      <c r="T2325" s="4"/>
      <c r="U2325" s="4"/>
      <c r="V2325" s="4"/>
      <c r="W2325" s="4"/>
      <c r="X2325" s="4"/>
      <c r="Y2325" s="4"/>
      <c r="Z2325" s="4"/>
      <c r="AA2325" s="4"/>
      <c r="AB2325" s="5"/>
    </row>
    <row r="2326" spans="1:28" x14ac:dyDescent="0.35">
      <c r="A2326" s="3"/>
      <c r="B2326" s="4"/>
      <c r="C2326" s="4"/>
      <c r="D2326" s="4"/>
      <c r="E2326" s="4"/>
      <c r="F2326" s="4"/>
      <c r="G2326" s="4"/>
      <c r="H2326" s="4"/>
      <c r="I2326" s="4"/>
      <c r="J2326" s="4"/>
      <c r="K2326" s="4"/>
      <c r="L2326" s="4"/>
      <c r="M2326" s="4"/>
      <c r="N2326" s="4"/>
      <c r="O2326" s="4"/>
      <c r="P2326" s="4"/>
      <c r="Q2326" s="4"/>
      <c r="R2326" s="4"/>
      <c r="S2326" s="4"/>
      <c r="T2326" s="4"/>
      <c r="U2326" s="4"/>
      <c r="V2326" s="4"/>
      <c r="W2326" s="4"/>
      <c r="X2326" s="4"/>
      <c r="Y2326" s="4"/>
      <c r="Z2326" s="4"/>
      <c r="AA2326" s="4"/>
      <c r="AB2326" s="5"/>
    </row>
    <row r="2327" spans="1:28" x14ac:dyDescent="0.35">
      <c r="A2327" s="3"/>
      <c r="B2327" s="4"/>
      <c r="C2327" s="4"/>
      <c r="D2327" s="4"/>
      <c r="E2327" s="4"/>
      <c r="F2327" s="4"/>
      <c r="G2327" s="4"/>
      <c r="H2327" s="4"/>
      <c r="I2327" s="4"/>
      <c r="J2327" s="4"/>
      <c r="K2327" s="4"/>
      <c r="L2327" s="4"/>
      <c r="M2327" s="4"/>
      <c r="N2327" s="4"/>
      <c r="O2327" s="4"/>
      <c r="P2327" s="4"/>
      <c r="Q2327" s="4"/>
      <c r="R2327" s="4"/>
      <c r="S2327" s="4"/>
      <c r="T2327" s="4"/>
      <c r="U2327" s="4"/>
      <c r="V2327" s="4"/>
      <c r="W2327" s="4"/>
      <c r="X2327" s="4"/>
      <c r="Y2327" s="4"/>
      <c r="Z2327" s="4"/>
      <c r="AA2327" s="4"/>
      <c r="AB2327" s="5"/>
    </row>
    <row r="2328" spans="1:28" x14ac:dyDescent="0.35">
      <c r="A2328" s="3"/>
      <c r="B2328" s="4"/>
      <c r="C2328" s="4"/>
      <c r="D2328" s="4"/>
      <c r="E2328" s="4"/>
      <c r="F2328" s="4"/>
      <c r="G2328" s="4"/>
      <c r="H2328" s="4"/>
      <c r="I2328" s="4"/>
      <c r="J2328" s="4"/>
      <c r="K2328" s="4"/>
      <c r="L2328" s="4"/>
      <c r="M2328" s="4"/>
      <c r="N2328" s="4"/>
      <c r="O2328" s="4"/>
      <c r="P2328" s="4"/>
      <c r="Q2328" s="4"/>
      <c r="R2328" s="4"/>
      <c r="S2328" s="4"/>
      <c r="T2328" s="4"/>
      <c r="U2328" s="4"/>
      <c r="V2328" s="4"/>
      <c r="W2328" s="4"/>
      <c r="X2328" s="4"/>
      <c r="Y2328" s="4"/>
      <c r="Z2328" s="4"/>
      <c r="AA2328" s="4"/>
      <c r="AB2328" s="5"/>
    </row>
    <row r="2329" spans="1:28" x14ac:dyDescent="0.35">
      <c r="A2329" s="3"/>
      <c r="B2329" s="4"/>
      <c r="C2329" s="4"/>
      <c r="D2329" s="4"/>
      <c r="E2329" s="4"/>
      <c r="F2329" s="4"/>
      <c r="G2329" s="4"/>
      <c r="H2329" s="4"/>
      <c r="I2329" s="4"/>
      <c r="J2329" s="4"/>
      <c r="K2329" s="4"/>
      <c r="L2329" s="4"/>
      <c r="M2329" s="4"/>
      <c r="N2329" s="4"/>
      <c r="O2329" s="4"/>
      <c r="P2329" s="4"/>
      <c r="Q2329" s="4"/>
      <c r="R2329" s="4"/>
      <c r="S2329" s="4"/>
      <c r="T2329" s="4"/>
      <c r="U2329" s="4"/>
      <c r="V2329" s="4"/>
      <c r="W2329" s="4"/>
      <c r="X2329" s="4"/>
      <c r="Y2329" s="4"/>
      <c r="Z2329" s="4"/>
      <c r="AA2329" s="4"/>
      <c r="AB2329" s="5"/>
    </row>
    <row r="2330" spans="1:28" x14ac:dyDescent="0.35">
      <c r="A2330" s="3"/>
      <c r="B2330" s="4"/>
      <c r="C2330" s="4"/>
      <c r="D2330" s="4"/>
      <c r="E2330" s="4"/>
      <c r="F2330" s="4"/>
      <c r="G2330" s="4"/>
      <c r="H2330" s="4"/>
      <c r="I2330" s="4"/>
      <c r="J2330" s="4"/>
      <c r="K2330" s="4"/>
      <c r="L2330" s="4"/>
      <c r="M2330" s="4"/>
      <c r="N2330" s="4"/>
      <c r="O2330" s="4"/>
      <c r="P2330" s="4"/>
      <c r="Q2330" s="4"/>
      <c r="R2330" s="4"/>
      <c r="S2330" s="4"/>
      <c r="T2330" s="4"/>
      <c r="U2330" s="4"/>
      <c r="V2330" s="4"/>
      <c r="W2330" s="4"/>
      <c r="X2330" s="4"/>
      <c r="Y2330" s="4"/>
      <c r="Z2330" s="4"/>
      <c r="AA2330" s="4"/>
      <c r="AB2330" s="5"/>
    </row>
    <row r="2331" spans="1:28" x14ac:dyDescent="0.35">
      <c r="A2331" s="3"/>
      <c r="B2331" s="4"/>
      <c r="C2331" s="4"/>
      <c r="D2331" s="4"/>
      <c r="E2331" s="4"/>
      <c r="F2331" s="4"/>
      <c r="G2331" s="4"/>
      <c r="H2331" s="4"/>
      <c r="I2331" s="4"/>
      <c r="J2331" s="4"/>
      <c r="K2331" s="4"/>
      <c r="L2331" s="4"/>
      <c r="M2331" s="4"/>
      <c r="N2331" s="4"/>
      <c r="O2331" s="4"/>
      <c r="P2331" s="4"/>
      <c r="Q2331" s="4"/>
      <c r="R2331" s="4"/>
      <c r="S2331" s="4"/>
      <c r="T2331" s="4"/>
      <c r="U2331" s="4"/>
      <c r="V2331" s="4"/>
      <c r="W2331" s="4"/>
      <c r="X2331" s="4"/>
      <c r="Y2331" s="4"/>
      <c r="Z2331" s="4"/>
      <c r="AA2331" s="4"/>
      <c r="AB2331" s="5"/>
    </row>
    <row r="2332" spans="1:28" x14ac:dyDescent="0.35">
      <c r="A2332" s="3"/>
      <c r="B2332" s="4"/>
      <c r="C2332" s="4"/>
      <c r="D2332" s="4"/>
      <c r="E2332" s="4"/>
      <c r="F2332" s="4"/>
      <c r="G2332" s="4"/>
      <c r="H2332" s="4"/>
      <c r="I2332" s="4"/>
      <c r="J2332" s="4"/>
      <c r="K2332" s="4"/>
      <c r="L2332" s="4"/>
      <c r="M2332" s="4"/>
      <c r="N2332" s="4"/>
      <c r="O2332" s="4"/>
      <c r="P2332" s="4"/>
      <c r="Q2332" s="4"/>
      <c r="R2332" s="4"/>
      <c r="S2332" s="4"/>
      <c r="T2332" s="4"/>
      <c r="U2332" s="4"/>
      <c r="V2332" s="4"/>
      <c r="W2332" s="4"/>
      <c r="X2332" s="4"/>
      <c r="Y2332" s="4"/>
      <c r="Z2332" s="4"/>
      <c r="AA2332" s="4"/>
      <c r="AB2332" s="5"/>
    </row>
    <row r="2333" spans="1:28" x14ac:dyDescent="0.35">
      <c r="A2333" s="3"/>
      <c r="B2333" s="4"/>
      <c r="C2333" s="4"/>
      <c r="D2333" s="4"/>
      <c r="E2333" s="4"/>
      <c r="F2333" s="4"/>
      <c r="G2333" s="4"/>
      <c r="H2333" s="4"/>
      <c r="I2333" s="4"/>
      <c r="J2333" s="4"/>
      <c r="K2333" s="4"/>
      <c r="L2333" s="4"/>
      <c r="M2333" s="4"/>
      <c r="N2333" s="4"/>
      <c r="O2333" s="4"/>
      <c r="P2333" s="4"/>
      <c r="Q2333" s="4"/>
      <c r="R2333" s="4"/>
      <c r="S2333" s="4"/>
      <c r="T2333" s="4"/>
      <c r="U2333" s="4"/>
      <c r="V2333" s="4"/>
      <c r="W2333" s="4"/>
      <c r="X2333" s="4"/>
      <c r="Y2333" s="4"/>
      <c r="Z2333" s="4"/>
      <c r="AA2333" s="4"/>
      <c r="AB2333" s="5"/>
    </row>
    <row r="2334" spans="1:28" x14ac:dyDescent="0.35">
      <c r="A2334" s="3"/>
      <c r="B2334" s="4"/>
      <c r="C2334" s="4"/>
      <c r="D2334" s="4"/>
      <c r="E2334" s="4"/>
      <c r="F2334" s="4"/>
      <c r="G2334" s="4"/>
      <c r="H2334" s="4"/>
      <c r="I2334" s="4"/>
      <c r="J2334" s="4"/>
      <c r="K2334" s="4"/>
      <c r="L2334" s="4"/>
      <c r="M2334" s="4"/>
      <c r="N2334" s="4"/>
      <c r="O2334" s="4"/>
      <c r="P2334" s="4"/>
      <c r="Q2334" s="4"/>
      <c r="R2334" s="4"/>
      <c r="S2334" s="4"/>
      <c r="T2334" s="4"/>
      <c r="U2334" s="4"/>
      <c r="V2334" s="4"/>
      <c r="W2334" s="4"/>
      <c r="X2334" s="4"/>
      <c r="Y2334" s="4"/>
      <c r="Z2334" s="4"/>
      <c r="AA2334" s="4"/>
      <c r="AB2334" s="5"/>
    </row>
    <row r="2335" spans="1:28" x14ac:dyDescent="0.35">
      <c r="A2335" s="3"/>
      <c r="B2335" s="4"/>
      <c r="C2335" s="4"/>
      <c r="D2335" s="4"/>
      <c r="E2335" s="4"/>
      <c r="F2335" s="4"/>
      <c r="G2335" s="4"/>
      <c r="H2335" s="4"/>
      <c r="I2335" s="4"/>
      <c r="J2335" s="4"/>
      <c r="K2335" s="4"/>
      <c r="L2335" s="4"/>
      <c r="M2335" s="4"/>
      <c r="N2335" s="4"/>
      <c r="O2335" s="4"/>
      <c r="P2335" s="4"/>
      <c r="Q2335" s="4"/>
      <c r="R2335" s="4"/>
      <c r="S2335" s="4"/>
      <c r="T2335" s="4"/>
      <c r="U2335" s="4"/>
      <c r="V2335" s="4"/>
      <c r="W2335" s="4"/>
      <c r="X2335" s="4"/>
      <c r="Y2335" s="4"/>
      <c r="Z2335" s="4"/>
      <c r="AA2335" s="4"/>
      <c r="AB2335" s="5"/>
    </row>
    <row r="2336" spans="1:28" x14ac:dyDescent="0.35">
      <c r="A2336" s="3"/>
      <c r="B2336" s="4"/>
      <c r="C2336" s="4"/>
      <c r="D2336" s="4"/>
      <c r="E2336" s="4"/>
      <c r="F2336" s="4"/>
      <c r="G2336" s="4"/>
      <c r="H2336" s="4"/>
      <c r="I2336" s="4"/>
      <c r="J2336" s="4"/>
      <c r="K2336" s="4"/>
      <c r="L2336" s="4"/>
      <c r="M2336" s="4"/>
      <c r="N2336" s="4"/>
      <c r="O2336" s="4"/>
      <c r="P2336" s="4"/>
      <c r="Q2336" s="4"/>
      <c r="R2336" s="4"/>
      <c r="S2336" s="4"/>
      <c r="T2336" s="4"/>
      <c r="U2336" s="4"/>
      <c r="V2336" s="4"/>
      <c r="W2336" s="4"/>
      <c r="X2336" s="4"/>
      <c r="Y2336" s="4"/>
      <c r="Z2336" s="4"/>
      <c r="AA2336" s="4"/>
      <c r="AB2336" s="5"/>
    </row>
    <row r="2337" spans="1:28" x14ac:dyDescent="0.35">
      <c r="A2337" s="3"/>
      <c r="B2337" s="4"/>
      <c r="C2337" s="4"/>
      <c r="D2337" s="4"/>
      <c r="E2337" s="4"/>
      <c r="F2337" s="4"/>
      <c r="G2337" s="4"/>
      <c r="H2337" s="4"/>
      <c r="I2337" s="4"/>
      <c r="J2337" s="4"/>
      <c r="K2337" s="4"/>
      <c r="L2337" s="4"/>
      <c r="M2337" s="4"/>
      <c r="N2337" s="4"/>
      <c r="O2337" s="4"/>
      <c r="P2337" s="4"/>
      <c r="Q2337" s="4"/>
      <c r="R2337" s="4"/>
      <c r="S2337" s="4"/>
      <c r="T2337" s="4"/>
      <c r="U2337" s="4"/>
      <c r="V2337" s="4"/>
      <c r="W2337" s="4"/>
      <c r="X2337" s="4"/>
      <c r="Y2337" s="4"/>
      <c r="Z2337" s="4"/>
      <c r="AA2337" s="4"/>
      <c r="AB2337" s="5"/>
    </row>
    <row r="2338" spans="1:28" x14ac:dyDescent="0.35">
      <c r="A2338" s="3"/>
      <c r="B2338" s="4"/>
      <c r="C2338" s="4"/>
      <c r="D2338" s="4"/>
      <c r="E2338" s="4"/>
      <c r="F2338" s="4"/>
      <c r="G2338" s="4"/>
      <c r="H2338" s="4"/>
      <c r="I2338" s="4"/>
      <c r="J2338" s="4"/>
      <c r="K2338" s="4"/>
      <c r="L2338" s="4"/>
      <c r="M2338" s="4"/>
      <c r="N2338" s="4"/>
      <c r="O2338" s="4"/>
      <c r="P2338" s="4"/>
      <c r="Q2338" s="4"/>
      <c r="R2338" s="4"/>
      <c r="S2338" s="4"/>
      <c r="T2338" s="4"/>
      <c r="U2338" s="4"/>
      <c r="V2338" s="4"/>
      <c r="W2338" s="4"/>
      <c r="X2338" s="4"/>
      <c r="Y2338" s="4"/>
      <c r="Z2338" s="4"/>
      <c r="AA2338" s="4"/>
      <c r="AB2338" s="5"/>
    </row>
    <row r="2339" spans="1:28" x14ac:dyDescent="0.35">
      <c r="A2339" s="3"/>
      <c r="B2339" s="4"/>
      <c r="C2339" s="4"/>
      <c r="D2339" s="4"/>
      <c r="E2339" s="4"/>
      <c r="F2339" s="4"/>
      <c r="G2339" s="4"/>
      <c r="H2339" s="4"/>
      <c r="I2339" s="4"/>
      <c r="J2339" s="4"/>
      <c r="K2339" s="4"/>
      <c r="L2339" s="4"/>
      <c r="M2339" s="4"/>
      <c r="N2339" s="4"/>
      <c r="O2339" s="4"/>
      <c r="P2339" s="4"/>
      <c r="Q2339" s="4"/>
      <c r="R2339" s="4"/>
      <c r="S2339" s="4"/>
      <c r="T2339" s="4"/>
      <c r="U2339" s="4"/>
      <c r="V2339" s="4"/>
      <c r="W2339" s="4"/>
      <c r="X2339" s="4"/>
      <c r="Y2339" s="4"/>
      <c r="Z2339" s="4"/>
      <c r="AA2339" s="4"/>
      <c r="AB2339" s="5"/>
    </row>
    <row r="2340" spans="1:28" x14ac:dyDescent="0.35">
      <c r="A2340" s="3"/>
      <c r="B2340" s="4"/>
      <c r="C2340" s="4"/>
      <c r="D2340" s="4"/>
      <c r="E2340" s="4"/>
      <c r="F2340" s="4"/>
      <c r="G2340" s="4"/>
      <c r="H2340" s="4"/>
      <c r="I2340" s="4"/>
      <c r="J2340" s="4"/>
      <c r="K2340" s="4"/>
      <c r="L2340" s="4"/>
      <c r="M2340" s="4"/>
      <c r="N2340" s="4"/>
      <c r="O2340" s="4"/>
      <c r="P2340" s="4"/>
      <c r="Q2340" s="4"/>
      <c r="R2340" s="4"/>
      <c r="S2340" s="4"/>
      <c r="T2340" s="4"/>
      <c r="U2340" s="4"/>
      <c r="V2340" s="4"/>
      <c r="W2340" s="4"/>
      <c r="X2340" s="4"/>
      <c r="Y2340" s="4"/>
      <c r="Z2340" s="4"/>
      <c r="AA2340" s="4"/>
      <c r="AB2340" s="5"/>
    </row>
    <row r="2341" spans="1:28" x14ac:dyDescent="0.35">
      <c r="A2341" s="3"/>
      <c r="B2341" s="4"/>
      <c r="C2341" s="4"/>
      <c r="D2341" s="4"/>
      <c r="E2341" s="4"/>
      <c r="F2341" s="4"/>
      <c r="G2341" s="4"/>
      <c r="H2341" s="4"/>
      <c r="I2341" s="4"/>
      <c r="J2341" s="4"/>
      <c r="K2341" s="4"/>
      <c r="L2341" s="4"/>
      <c r="M2341" s="4"/>
      <c r="N2341" s="4"/>
      <c r="O2341" s="4"/>
      <c r="P2341" s="4"/>
      <c r="Q2341" s="4"/>
      <c r="R2341" s="4"/>
      <c r="S2341" s="4"/>
      <c r="T2341" s="4"/>
      <c r="U2341" s="4"/>
      <c r="V2341" s="4"/>
      <c r="W2341" s="4"/>
      <c r="X2341" s="4"/>
      <c r="Y2341" s="4"/>
      <c r="Z2341" s="4"/>
      <c r="AA2341" s="4"/>
      <c r="AB2341" s="5"/>
    </row>
    <row r="2342" spans="1:28" x14ac:dyDescent="0.35">
      <c r="A2342" s="3"/>
      <c r="B2342" s="4"/>
      <c r="C2342" s="4"/>
      <c r="D2342" s="4"/>
      <c r="E2342" s="4"/>
      <c r="F2342" s="4"/>
      <c r="G2342" s="4"/>
      <c r="H2342" s="4"/>
      <c r="I2342" s="4"/>
      <c r="J2342" s="4"/>
      <c r="K2342" s="4"/>
      <c r="L2342" s="4"/>
      <c r="M2342" s="4"/>
      <c r="N2342" s="4"/>
      <c r="O2342" s="4"/>
      <c r="P2342" s="4"/>
      <c r="Q2342" s="4"/>
      <c r="R2342" s="4"/>
      <c r="S2342" s="4"/>
      <c r="T2342" s="4"/>
      <c r="U2342" s="4"/>
      <c r="V2342" s="4"/>
      <c r="W2342" s="4"/>
      <c r="X2342" s="4"/>
      <c r="Y2342" s="4"/>
      <c r="Z2342" s="4"/>
      <c r="AA2342" s="4"/>
      <c r="AB2342" s="5"/>
    </row>
    <row r="2343" spans="1:28" x14ac:dyDescent="0.35">
      <c r="A2343" s="3"/>
      <c r="B2343" s="4"/>
      <c r="C2343" s="4"/>
      <c r="D2343" s="4"/>
      <c r="E2343" s="4"/>
      <c r="F2343" s="4"/>
      <c r="G2343" s="4"/>
      <c r="H2343" s="4"/>
      <c r="I2343" s="4"/>
      <c r="J2343" s="4"/>
      <c r="K2343" s="4"/>
      <c r="L2343" s="4"/>
      <c r="M2343" s="4"/>
      <c r="N2343" s="4"/>
      <c r="O2343" s="4"/>
      <c r="P2343" s="4"/>
      <c r="Q2343" s="4"/>
      <c r="R2343" s="4"/>
      <c r="S2343" s="4"/>
      <c r="T2343" s="4"/>
      <c r="U2343" s="4"/>
      <c r="V2343" s="4"/>
      <c r="W2343" s="4"/>
      <c r="X2343" s="4"/>
      <c r="Y2343" s="4"/>
      <c r="Z2343" s="4"/>
      <c r="AA2343" s="4"/>
      <c r="AB2343" s="5"/>
    </row>
    <row r="2344" spans="1:28" x14ac:dyDescent="0.35">
      <c r="A2344" s="3"/>
      <c r="B2344" s="4"/>
      <c r="C2344" s="4"/>
      <c r="D2344" s="4"/>
      <c r="E2344" s="4"/>
      <c r="F2344" s="4"/>
      <c r="G2344" s="4"/>
      <c r="H2344" s="4"/>
      <c r="I2344" s="4"/>
      <c r="J2344" s="4"/>
      <c r="K2344" s="4"/>
      <c r="L2344" s="4"/>
      <c r="M2344" s="4"/>
      <c r="N2344" s="4"/>
      <c r="O2344" s="4"/>
      <c r="P2344" s="4"/>
      <c r="Q2344" s="4"/>
      <c r="R2344" s="4"/>
      <c r="S2344" s="4"/>
      <c r="T2344" s="4"/>
      <c r="U2344" s="4"/>
      <c r="V2344" s="4"/>
      <c r="W2344" s="4"/>
      <c r="X2344" s="4"/>
      <c r="Y2344" s="4"/>
      <c r="Z2344" s="4"/>
      <c r="AA2344" s="4"/>
      <c r="AB2344" s="5"/>
    </row>
    <row r="2345" spans="1:28" x14ac:dyDescent="0.35">
      <c r="A2345" s="3"/>
      <c r="B2345" s="4"/>
      <c r="C2345" s="4"/>
      <c r="D2345" s="4"/>
      <c r="E2345" s="4"/>
      <c r="F2345" s="4"/>
      <c r="G2345" s="4"/>
      <c r="H2345" s="4"/>
      <c r="I2345" s="4"/>
      <c r="J2345" s="4"/>
      <c r="K2345" s="4"/>
      <c r="L2345" s="4"/>
      <c r="M2345" s="4"/>
      <c r="N2345" s="4"/>
      <c r="O2345" s="4"/>
      <c r="P2345" s="4"/>
      <c r="Q2345" s="4"/>
      <c r="R2345" s="4"/>
      <c r="S2345" s="4"/>
      <c r="T2345" s="4"/>
      <c r="U2345" s="4"/>
      <c r="V2345" s="4"/>
      <c r="W2345" s="4"/>
      <c r="X2345" s="4"/>
      <c r="Y2345" s="4"/>
      <c r="Z2345" s="4"/>
      <c r="AA2345" s="4"/>
      <c r="AB2345" s="5"/>
    </row>
    <row r="2346" spans="1:28" x14ac:dyDescent="0.35">
      <c r="A2346" s="3"/>
      <c r="B2346" s="4"/>
      <c r="C2346" s="4"/>
      <c r="D2346" s="4"/>
      <c r="E2346" s="4"/>
      <c r="F2346" s="4"/>
      <c r="G2346" s="4"/>
      <c r="H2346" s="4"/>
      <c r="I2346" s="4"/>
      <c r="J2346" s="4"/>
      <c r="K2346" s="4"/>
      <c r="L2346" s="4"/>
      <c r="M2346" s="4"/>
      <c r="N2346" s="4"/>
      <c r="O2346" s="4"/>
      <c r="P2346" s="4"/>
      <c r="Q2346" s="4"/>
      <c r="R2346" s="4"/>
      <c r="S2346" s="4"/>
      <c r="T2346" s="4"/>
      <c r="U2346" s="4"/>
      <c r="V2346" s="4"/>
      <c r="W2346" s="4"/>
      <c r="X2346" s="4"/>
      <c r="Y2346" s="4"/>
      <c r="Z2346" s="4"/>
      <c r="AA2346" s="4"/>
      <c r="AB2346" s="5"/>
    </row>
    <row r="2347" spans="1:28" x14ac:dyDescent="0.35">
      <c r="A2347" s="3"/>
      <c r="B2347" s="4"/>
      <c r="C2347" s="4"/>
      <c r="D2347" s="4"/>
      <c r="E2347" s="4"/>
      <c r="F2347" s="4"/>
      <c r="G2347" s="4"/>
      <c r="H2347" s="4"/>
      <c r="I2347" s="4"/>
      <c r="J2347" s="4"/>
      <c r="K2347" s="4"/>
      <c r="L2347" s="4"/>
      <c r="M2347" s="4"/>
      <c r="N2347" s="4"/>
      <c r="O2347" s="4"/>
      <c r="P2347" s="4"/>
      <c r="Q2347" s="4"/>
      <c r="R2347" s="4"/>
      <c r="S2347" s="4"/>
      <c r="T2347" s="4"/>
      <c r="U2347" s="4"/>
      <c r="V2347" s="4"/>
      <c r="W2347" s="4"/>
      <c r="X2347" s="4"/>
      <c r="Y2347" s="4"/>
      <c r="Z2347" s="4"/>
      <c r="AA2347" s="4"/>
      <c r="AB2347" s="5"/>
    </row>
    <row r="2348" spans="1:28" x14ac:dyDescent="0.35">
      <c r="A2348" s="3"/>
      <c r="B2348" s="4"/>
      <c r="C2348" s="4"/>
      <c r="D2348" s="4"/>
      <c r="E2348" s="4"/>
      <c r="F2348" s="4"/>
      <c r="G2348" s="4"/>
      <c r="H2348" s="4"/>
      <c r="I2348" s="4"/>
      <c r="J2348" s="4"/>
      <c r="K2348" s="4"/>
      <c r="L2348" s="4"/>
      <c r="M2348" s="4"/>
      <c r="N2348" s="4"/>
      <c r="O2348" s="4"/>
      <c r="P2348" s="4"/>
      <c r="Q2348" s="4"/>
      <c r="R2348" s="4"/>
      <c r="S2348" s="4"/>
      <c r="T2348" s="4"/>
      <c r="U2348" s="4"/>
      <c r="V2348" s="4"/>
      <c r="W2348" s="4"/>
      <c r="X2348" s="4"/>
      <c r="Y2348" s="4"/>
      <c r="Z2348" s="4"/>
      <c r="AA2348" s="4"/>
      <c r="AB2348" s="5"/>
    </row>
    <row r="2349" spans="1:28" x14ac:dyDescent="0.35">
      <c r="A2349" s="3"/>
      <c r="B2349" s="4"/>
      <c r="C2349" s="4"/>
      <c r="D2349" s="4"/>
      <c r="E2349" s="4"/>
      <c r="F2349" s="4"/>
      <c r="G2349" s="4"/>
      <c r="H2349" s="4"/>
      <c r="I2349" s="4"/>
      <c r="J2349" s="4"/>
      <c r="K2349" s="4"/>
      <c r="L2349" s="4"/>
      <c r="M2349" s="4"/>
      <c r="N2349" s="4"/>
      <c r="O2349" s="4"/>
      <c r="P2349" s="4"/>
      <c r="Q2349" s="4"/>
      <c r="R2349" s="4"/>
      <c r="S2349" s="4"/>
      <c r="T2349" s="4"/>
      <c r="U2349" s="4"/>
      <c r="V2349" s="4"/>
      <c r="W2349" s="4"/>
      <c r="X2349" s="4"/>
      <c r="Y2349" s="4"/>
      <c r="Z2349" s="4"/>
      <c r="AA2349" s="4"/>
      <c r="AB2349" s="5"/>
    </row>
    <row r="2350" spans="1:28" x14ac:dyDescent="0.35">
      <c r="A2350" s="3"/>
      <c r="B2350" s="4"/>
      <c r="C2350" s="4"/>
      <c r="D2350" s="4"/>
      <c r="E2350" s="4"/>
      <c r="F2350" s="4"/>
      <c r="G2350" s="4"/>
      <c r="H2350" s="4"/>
      <c r="I2350" s="4"/>
      <c r="J2350" s="4"/>
      <c r="K2350" s="4"/>
      <c r="L2350" s="4"/>
      <c r="M2350" s="4"/>
      <c r="N2350" s="4"/>
      <c r="O2350" s="4"/>
      <c r="P2350" s="4"/>
      <c r="Q2350" s="4"/>
      <c r="R2350" s="4"/>
      <c r="S2350" s="4"/>
      <c r="T2350" s="4"/>
      <c r="U2350" s="4"/>
      <c r="V2350" s="4"/>
      <c r="W2350" s="4"/>
      <c r="X2350" s="4"/>
      <c r="Y2350" s="4"/>
      <c r="Z2350" s="4"/>
      <c r="AA2350" s="4"/>
      <c r="AB2350" s="5"/>
    </row>
    <row r="2351" spans="1:28" x14ac:dyDescent="0.35">
      <c r="A2351" s="3"/>
      <c r="B2351" s="4"/>
      <c r="C2351" s="4"/>
      <c r="D2351" s="4"/>
      <c r="E2351" s="4"/>
      <c r="F2351" s="4"/>
      <c r="G2351" s="4"/>
      <c r="H2351" s="4"/>
      <c r="I2351" s="4"/>
      <c r="J2351" s="4"/>
      <c r="K2351" s="4"/>
      <c r="L2351" s="4"/>
      <c r="M2351" s="4"/>
      <c r="N2351" s="4"/>
      <c r="O2351" s="4"/>
      <c r="P2351" s="4"/>
      <c r="Q2351" s="4"/>
      <c r="R2351" s="4"/>
      <c r="S2351" s="4"/>
      <c r="T2351" s="4"/>
      <c r="U2351" s="4"/>
      <c r="V2351" s="4"/>
      <c r="W2351" s="4"/>
      <c r="X2351" s="4"/>
      <c r="Y2351" s="4"/>
      <c r="Z2351" s="4"/>
      <c r="AA2351" s="4"/>
      <c r="AB2351" s="5"/>
    </row>
    <row r="2352" spans="1:28" x14ac:dyDescent="0.35">
      <c r="A2352" s="3"/>
      <c r="B2352" s="4"/>
      <c r="C2352" s="4"/>
      <c r="D2352" s="4"/>
      <c r="E2352" s="4"/>
      <c r="F2352" s="4"/>
      <c r="G2352" s="4"/>
      <c r="H2352" s="4"/>
      <c r="I2352" s="4"/>
      <c r="J2352" s="4"/>
      <c r="K2352" s="4"/>
      <c r="L2352" s="4"/>
      <c r="M2352" s="4"/>
      <c r="N2352" s="4"/>
      <c r="O2352" s="4"/>
      <c r="P2352" s="4"/>
      <c r="Q2352" s="4"/>
      <c r="R2352" s="4"/>
      <c r="S2352" s="4"/>
      <c r="T2352" s="4"/>
      <c r="U2352" s="4"/>
      <c r="V2352" s="4"/>
      <c r="W2352" s="4"/>
      <c r="X2352" s="4"/>
      <c r="Y2352" s="4"/>
      <c r="Z2352" s="4"/>
      <c r="AA2352" s="4"/>
      <c r="AB2352" s="5"/>
    </row>
    <row r="2353" spans="1:28" x14ac:dyDescent="0.35">
      <c r="A2353" s="3"/>
      <c r="B2353" s="4"/>
      <c r="C2353" s="4"/>
      <c r="D2353" s="4"/>
      <c r="E2353" s="4"/>
      <c r="F2353" s="4"/>
      <c r="G2353" s="4"/>
      <c r="H2353" s="4"/>
      <c r="I2353" s="4"/>
      <c r="J2353" s="4"/>
      <c r="K2353" s="4"/>
      <c r="L2353" s="4"/>
      <c r="M2353" s="4"/>
      <c r="N2353" s="4"/>
      <c r="O2353" s="4"/>
      <c r="P2353" s="4"/>
      <c r="Q2353" s="4"/>
      <c r="R2353" s="4"/>
      <c r="S2353" s="4"/>
      <c r="T2353" s="4"/>
      <c r="U2353" s="4"/>
      <c r="V2353" s="4"/>
      <c r="W2353" s="4"/>
      <c r="X2353" s="4"/>
      <c r="Y2353" s="4"/>
      <c r="Z2353" s="4"/>
      <c r="AA2353" s="4"/>
      <c r="AB2353" s="5"/>
    </row>
    <row r="2354" spans="1:28" x14ac:dyDescent="0.35">
      <c r="A2354" s="3"/>
      <c r="B2354" s="4"/>
      <c r="C2354" s="4"/>
      <c r="D2354" s="4"/>
      <c r="E2354" s="4"/>
      <c r="F2354" s="4"/>
      <c r="G2354" s="4"/>
      <c r="H2354" s="4"/>
      <c r="I2354" s="4"/>
      <c r="J2354" s="4"/>
      <c r="K2354" s="4"/>
      <c r="L2354" s="4"/>
      <c r="M2354" s="4"/>
      <c r="N2354" s="4"/>
      <c r="O2354" s="4"/>
      <c r="P2354" s="4"/>
      <c r="Q2354" s="4"/>
      <c r="R2354" s="4"/>
      <c r="S2354" s="4"/>
      <c r="T2354" s="4"/>
      <c r="U2354" s="4"/>
      <c r="V2354" s="4"/>
      <c r="W2354" s="4"/>
      <c r="X2354" s="4"/>
      <c r="Y2354" s="4"/>
      <c r="Z2354" s="4"/>
      <c r="AA2354" s="4"/>
      <c r="AB2354" s="5"/>
    </row>
    <row r="2355" spans="1:28" x14ac:dyDescent="0.35">
      <c r="A2355" s="3"/>
      <c r="B2355" s="4"/>
      <c r="C2355" s="4"/>
      <c r="D2355" s="4"/>
      <c r="E2355" s="4"/>
      <c r="F2355" s="4"/>
      <c r="G2355" s="4"/>
      <c r="H2355" s="4"/>
      <c r="I2355" s="4"/>
      <c r="J2355" s="4"/>
      <c r="K2355" s="4"/>
      <c r="L2355" s="4"/>
      <c r="M2355" s="4"/>
      <c r="N2355" s="4"/>
      <c r="O2355" s="4"/>
      <c r="P2355" s="4"/>
      <c r="Q2355" s="4"/>
      <c r="R2355" s="4"/>
      <c r="S2355" s="4"/>
      <c r="T2355" s="4"/>
      <c r="U2355" s="4"/>
      <c r="V2355" s="4"/>
      <c r="W2355" s="4"/>
      <c r="X2355" s="4"/>
      <c r="Y2355" s="4"/>
      <c r="Z2355" s="4"/>
      <c r="AA2355" s="4"/>
      <c r="AB2355" s="5"/>
    </row>
    <row r="2356" spans="1:28" x14ac:dyDescent="0.35">
      <c r="A2356" s="3"/>
      <c r="B2356" s="4"/>
      <c r="C2356" s="4"/>
      <c r="D2356" s="4"/>
      <c r="E2356" s="4"/>
      <c r="F2356" s="4"/>
      <c r="G2356" s="4"/>
      <c r="H2356" s="4"/>
      <c r="I2356" s="4"/>
      <c r="J2356" s="4"/>
      <c r="K2356" s="4"/>
      <c r="L2356" s="4"/>
      <c r="M2356" s="4"/>
      <c r="N2356" s="4"/>
      <c r="O2356" s="4"/>
      <c r="P2356" s="4"/>
      <c r="Q2356" s="4"/>
      <c r="R2356" s="4"/>
      <c r="S2356" s="4"/>
      <c r="T2356" s="4"/>
      <c r="U2356" s="4"/>
      <c r="V2356" s="4"/>
      <c r="W2356" s="4"/>
      <c r="X2356" s="4"/>
      <c r="Y2356" s="4"/>
      <c r="Z2356" s="4"/>
      <c r="AA2356" s="4"/>
      <c r="AB2356" s="5"/>
    </row>
    <row r="2357" spans="1:28" x14ac:dyDescent="0.35">
      <c r="A2357" s="3"/>
      <c r="B2357" s="4"/>
      <c r="C2357" s="4"/>
      <c r="D2357" s="4"/>
      <c r="E2357" s="4"/>
      <c r="F2357" s="4"/>
      <c r="G2357" s="4"/>
      <c r="H2357" s="4"/>
      <c r="I2357" s="4"/>
      <c r="J2357" s="4"/>
      <c r="K2357" s="4"/>
      <c r="L2357" s="4"/>
      <c r="M2357" s="4"/>
      <c r="N2357" s="4"/>
      <c r="O2357" s="4"/>
      <c r="P2357" s="4"/>
      <c r="Q2357" s="4"/>
      <c r="R2357" s="4"/>
      <c r="S2357" s="4"/>
      <c r="T2357" s="4"/>
      <c r="U2357" s="4"/>
      <c r="V2357" s="4"/>
      <c r="W2357" s="4"/>
      <c r="X2357" s="4"/>
      <c r="Y2357" s="4"/>
      <c r="Z2357" s="4"/>
      <c r="AA2357" s="4"/>
      <c r="AB2357" s="5"/>
    </row>
    <row r="2358" spans="1:28" x14ac:dyDescent="0.35">
      <c r="A2358" s="3"/>
      <c r="B2358" s="4"/>
      <c r="C2358" s="4"/>
      <c r="D2358" s="4"/>
      <c r="E2358" s="4"/>
      <c r="F2358" s="4"/>
      <c r="G2358" s="4"/>
      <c r="H2358" s="4"/>
      <c r="I2358" s="4"/>
      <c r="J2358" s="4"/>
      <c r="K2358" s="4"/>
      <c r="L2358" s="4"/>
      <c r="M2358" s="4"/>
      <c r="N2358" s="4"/>
      <c r="O2358" s="4"/>
      <c r="P2358" s="4"/>
      <c r="Q2358" s="4"/>
      <c r="R2358" s="4"/>
      <c r="S2358" s="4"/>
      <c r="T2358" s="4"/>
      <c r="U2358" s="4"/>
      <c r="V2358" s="4"/>
      <c r="W2358" s="4"/>
      <c r="X2358" s="4"/>
      <c r="Y2358" s="4"/>
      <c r="Z2358" s="4"/>
      <c r="AA2358" s="4"/>
      <c r="AB2358" s="5"/>
    </row>
    <row r="2359" spans="1:28" x14ac:dyDescent="0.35">
      <c r="A2359" s="3"/>
      <c r="B2359" s="4"/>
      <c r="C2359" s="4"/>
      <c r="D2359" s="4"/>
      <c r="E2359" s="4"/>
      <c r="F2359" s="4"/>
      <c r="G2359" s="4"/>
      <c r="H2359" s="4"/>
      <c r="I2359" s="4"/>
      <c r="J2359" s="4"/>
      <c r="K2359" s="4"/>
      <c r="L2359" s="4"/>
      <c r="M2359" s="4"/>
      <c r="N2359" s="4"/>
      <c r="O2359" s="4"/>
      <c r="P2359" s="4"/>
      <c r="Q2359" s="4"/>
      <c r="R2359" s="4"/>
      <c r="S2359" s="4"/>
      <c r="T2359" s="4"/>
      <c r="U2359" s="4"/>
      <c r="V2359" s="4"/>
      <c r="W2359" s="4"/>
      <c r="X2359" s="4"/>
      <c r="Y2359" s="4"/>
      <c r="Z2359" s="4"/>
      <c r="AA2359" s="4"/>
      <c r="AB2359" s="5"/>
    </row>
    <row r="2360" spans="1:28" x14ac:dyDescent="0.35">
      <c r="A2360" s="3"/>
      <c r="B2360" s="4"/>
      <c r="C2360" s="4"/>
      <c r="D2360" s="4"/>
      <c r="E2360" s="4"/>
      <c r="F2360" s="4"/>
      <c r="G2360" s="4"/>
      <c r="H2360" s="4"/>
      <c r="I2360" s="4"/>
      <c r="J2360" s="4"/>
      <c r="K2360" s="4"/>
      <c r="L2360" s="4"/>
      <c r="M2360" s="4"/>
      <c r="N2360" s="4"/>
      <c r="O2360" s="4"/>
      <c r="P2360" s="4"/>
      <c r="Q2360" s="4"/>
      <c r="R2360" s="4"/>
      <c r="S2360" s="4"/>
      <c r="T2360" s="4"/>
      <c r="U2360" s="4"/>
      <c r="V2360" s="4"/>
      <c r="W2360" s="4"/>
      <c r="X2360" s="4"/>
      <c r="Y2360" s="4"/>
      <c r="Z2360" s="4"/>
      <c r="AA2360" s="4"/>
      <c r="AB2360" s="5"/>
    </row>
    <row r="2361" spans="1:28" x14ac:dyDescent="0.35">
      <c r="A2361" s="3"/>
      <c r="B2361" s="4"/>
      <c r="C2361" s="4"/>
      <c r="D2361" s="4"/>
      <c r="E2361" s="4"/>
      <c r="F2361" s="4"/>
      <c r="G2361" s="4"/>
      <c r="H2361" s="4"/>
      <c r="I2361" s="4"/>
      <c r="J2361" s="4"/>
      <c r="K2361" s="4"/>
      <c r="L2361" s="4"/>
      <c r="M2361" s="4"/>
      <c r="N2361" s="4"/>
      <c r="O2361" s="4"/>
      <c r="P2361" s="4"/>
      <c r="Q2361" s="4"/>
      <c r="R2361" s="4"/>
      <c r="S2361" s="4"/>
      <c r="T2361" s="4"/>
      <c r="U2361" s="4"/>
      <c r="V2361" s="4"/>
      <c r="W2361" s="4"/>
      <c r="X2361" s="4"/>
      <c r="Y2361" s="4"/>
      <c r="Z2361" s="4"/>
      <c r="AA2361" s="4"/>
      <c r="AB2361" s="5"/>
    </row>
    <row r="2362" spans="1:28" x14ac:dyDescent="0.35">
      <c r="A2362" s="3"/>
      <c r="B2362" s="4"/>
      <c r="C2362" s="4"/>
      <c r="D2362" s="4"/>
      <c r="E2362" s="4"/>
      <c r="F2362" s="4"/>
      <c r="G2362" s="4"/>
      <c r="H2362" s="4"/>
      <c r="I2362" s="4"/>
      <c r="J2362" s="4"/>
      <c r="K2362" s="4"/>
      <c r="L2362" s="4"/>
      <c r="M2362" s="4"/>
      <c r="N2362" s="4"/>
      <c r="O2362" s="4"/>
      <c r="P2362" s="4"/>
      <c r="Q2362" s="4"/>
      <c r="R2362" s="4"/>
      <c r="S2362" s="4"/>
      <c r="T2362" s="4"/>
      <c r="U2362" s="4"/>
      <c r="V2362" s="4"/>
      <c r="W2362" s="4"/>
      <c r="X2362" s="4"/>
      <c r="Y2362" s="4"/>
      <c r="Z2362" s="4"/>
      <c r="AA2362" s="4"/>
      <c r="AB2362" s="5"/>
    </row>
    <row r="2363" spans="1:28" x14ac:dyDescent="0.35">
      <c r="A2363" s="3"/>
      <c r="B2363" s="4"/>
      <c r="C2363" s="4"/>
      <c r="D2363" s="4"/>
      <c r="E2363" s="4"/>
      <c r="F2363" s="4"/>
      <c r="G2363" s="4"/>
      <c r="H2363" s="4"/>
      <c r="I2363" s="4"/>
      <c r="J2363" s="4"/>
      <c r="K2363" s="4"/>
      <c r="L2363" s="4"/>
      <c r="M2363" s="4"/>
      <c r="N2363" s="4"/>
      <c r="O2363" s="4"/>
      <c r="P2363" s="4"/>
      <c r="Q2363" s="4"/>
      <c r="R2363" s="4"/>
      <c r="S2363" s="4"/>
      <c r="T2363" s="4"/>
      <c r="U2363" s="4"/>
      <c r="V2363" s="4"/>
      <c r="W2363" s="4"/>
      <c r="X2363" s="4"/>
      <c r="Y2363" s="4"/>
      <c r="Z2363" s="4"/>
      <c r="AA2363" s="4"/>
      <c r="AB2363" s="5"/>
    </row>
    <row r="2364" spans="1:28" x14ac:dyDescent="0.35">
      <c r="A2364" s="3"/>
      <c r="B2364" s="4"/>
      <c r="C2364" s="4"/>
      <c r="D2364" s="4"/>
      <c r="E2364" s="4"/>
      <c r="F2364" s="4"/>
      <c r="G2364" s="4"/>
      <c r="H2364" s="4"/>
      <c r="I2364" s="4"/>
      <c r="J2364" s="4"/>
      <c r="K2364" s="4"/>
      <c r="L2364" s="4"/>
      <c r="M2364" s="4"/>
      <c r="N2364" s="4"/>
      <c r="O2364" s="4"/>
      <c r="P2364" s="4"/>
      <c r="Q2364" s="4"/>
      <c r="R2364" s="4"/>
      <c r="S2364" s="4"/>
      <c r="T2364" s="4"/>
      <c r="U2364" s="4"/>
      <c r="V2364" s="4"/>
      <c r="W2364" s="4"/>
      <c r="X2364" s="4"/>
      <c r="Y2364" s="4"/>
      <c r="Z2364" s="4"/>
      <c r="AA2364" s="4"/>
      <c r="AB2364" s="5"/>
    </row>
    <row r="2365" spans="1:28" x14ac:dyDescent="0.35">
      <c r="A2365" s="3"/>
      <c r="B2365" s="4"/>
      <c r="C2365" s="4"/>
      <c r="D2365" s="4"/>
      <c r="E2365" s="4"/>
      <c r="F2365" s="4"/>
      <c r="G2365" s="4"/>
      <c r="H2365" s="4"/>
      <c r="I2365" s="4"/>
      <c r="J2365" s="4"/>
      <c r="K2365" s="4"/>
      <c r="L2365" s="4"/>
      <c r="M2365" s="4"/>
      <c r="N2365" s="4"/>
      <c r="O2365" s="4"/>
      <c r="P2365" s="4"/>
      <c r="Q2365" s="4"/>
      <c r="R2365" s="4"/>
      <c r="S2365" s="4"/>
      <c r="T2365" s="4"/>
      <c r="U2365" s="4"/>
      <c r="V2365" s="4"/>
      <c r="W2365" s="4"/>
      <c r="X2365" s="4"/>
      <c r="Y2365" s="4"/>
      <c r="Z2365" s="4"/>
      <c r="AA2365" s="4"/>
      <c r="AB2365" s="5"/>
    </row>
    <row r="2366" spans="1:28" x14ac:dyDescent="0.35">
      <c r="A2366" s="3"/>
      <c r="B2366" s="4"/>
      <c r="C2366" s="4"/>
      <c r="D2366" s="4"/>
      <c r="E2366" s="4"/>
      <c r="F2366" s="4"/>
      <c r="G2366" s="4"/>
      <c r="H2366" s="4"/>
      <c r="I2366" s="4"/>
      <c r="J2366" s="4"/>
      <c r="K2366" s="4"/>
      <c r="L2366" s="4"/>
      <c r="M2366" s="4"/>
      <c r="N2366" s="4"/>
      <c r="O2366" s="4"/>
      <c r="P2366" s="4"/>
      <c r="Q2366" s="4"/>
      <c r="R2366" s="4"/>
      <c r="S2366" s="4"/>
      <c r="T2366" s="4"/>
      <c r="U2366" s="4"/>
      <c r="V2366" s="4"/>
      <c r="W2366" s="4"/>
      <c r="X2366" s="4"/>
      <c r="Y2366" s="4"/>
      <c r="Z2366" s="4"/>
      <c r="AA2366" s="4"/>
      <c r="AB2366" s="5"/>
    </row>
    <row r="2367" spans="1:28" x14ac:dyDescent="0.35">
      <c r="A2367" s="3"/>
      <c r="B2367" s="4"/>
      <c r="C2367" s="4"/>
      <c r="D2367" s="4"/>
      <c r="E2367" s="4"/>
      <c r="F2367" s="4"/>
      <c r="G2367" s="4"/>
      <c r="H2367" s="4"/>
      <c r="I2367" s="4"/>
      <c r="J2367" s="4"/>
      <c r="K2367" s="4"/>
      <c r="L2367" s="4"/>
      <c r="M2367" s="4"/>
      <c r="N2367" s="4"/>
      <c r="O2367" s="4"/>
      <c r="P2367" s="4"/>
      <c r="Q2367" s="4"/>
      <c r="R2367" s="4"/>
      <c r="S2367" s="4"/>
      <c r="T2367" s="4"/>
      <c r="U2367" s="4"/>
      <c r="V2367" s="4"/>
      <c r="W2367" s="4"/>
      <c r="X2367" s="4"/>
      <c r="Y2367" s="4"/>
      <c r="Z2367" s="4"/>
      <c r="AA2367" s="4"/>
      <c r="AB2367" s="5"/>
    </row>
    <row r="2368" spans="1:28" x14ac:dyDescent="0.35">
      <c r="A2368" s="3"/>
      <c r="B2368" s="4"/>
      <c r="C2368" s="4"/>
      <c r="D2368" s="4"/>
      <c r="E2368" s="4"/>
      <c r="F2368" s="4"/>
      <c r="G2368" s="4"/>
      <c r="H2368" s="4"/>
      <c r="I2368" s="4"/>
      <c r="J2368" s="4"/>
      <c r="K2368" s="4"/>
      <c r="L2368" s="4"/>
      <c r="M2368" s="4"/>
      <c r="N2368" s="4"/>
      <c r="O2368" s="4"/>
      <c r="P2368" s="4"/>
      <c r="Q2368" s="4"/>
      <c r="R2368" s="4"/>
      <c r="S2368" s="4"/>
      <c r="T2368" s="4"/>
      <c r="U2368" s="4"/>
      <c r="V2368" s="4"/>
      <c r="W2368" s="4"/>
      <c r="X2368" s="4"/>
      <c r="Y2368" s="4"/>
      <c r="Z2368" s="4"/>
      <c r="AA2368" s="4"/>
      <c r="AB2368" s="5"/>
    </row>
    <row r="2369" spans="1:28" x14ac:dyDescent="0.35">
      <c r="A2369" s="3"/>
      <c r="B2369" s="4"/>
      <c r="C2369" s="4"/>
      <c r="D2369" s="4"/>
      <c r="E2369" s="4"/>
      <c r="F2369" s="4"/>
      <c r="G2369" s="4"/>
      <c r="H2369" s="4"/>
      <c r="I2369" s="4"/>
      <c r="J2369" s="4"/>
      <c r="K2369" s="4"/>
      <c r="L2369" s="4"/>
      <c r="M2369" s="4"/>
      <c r="N2369" s="4"/>
      <c r="O2369" s="4"/>
      <c r="P2369" s="4"/>
      <c r="Q2369" s="4"/>
      <c r="R2369" s="4"/>
      <c r="S2369" s="4"/>
      <c r="T2369" s="4"/>
      <c r="U2369" s="4"/>
      <c r="V2369" s="4"/>
      <c r="W2369" s="4"/>
      <c r="X2369" s="4"/>
      <c r="Y2369" s="4"/>
      <c r="Z2369" s="4"/>
      <c r="AA2369" s="4"/>
      <c r="AB2369" s="5"/>
    </row>
    <row r="2370" spans="1:28" x14ac:dyDescent="0.35">
      <c r="A2370" s="3"/>
      <c r="B2370" s="4"/>
      <c r="C2370" s="4"/>
      <c r="D2370" s="4"/>
      <c r="E2370" s="4"/>
      <c r="F2370" s="4"/>
      <c r="G2370" s="4"/>
      <c r="H2370" s="4"/>
      <c r="I2370" s="4"/>
      <c r="J2370" s="4"/>
      <c r="K2370" s="4"/>
      <c r="L2370" s="4"/>
      <c r="M2370" s="4"/>
      <c r="N2370" s="4"/>
      <c r="O2370" s="4"/>
      <c r="P2370" s="4"/>
      <c r="Q2370" s="4"/>
      <c r="R2370" s="4"/>
      <c r="S2370" s="4"/>
      <c r="T2370" s="4"/>
      <c r="U2370" s="4"/>
      <c r="V2370" s="4"/>
      <c r="W2370" s="4"/>
      <c r="X2370" s="4"/>
      <c r="Y2370" s="4"/>
      <c r="Z2370" s="4"/>
      <c r="AA2370" s="4"/>
      <c r="AB2370" s="5"/>
    </row>
    <row r="2371" spans="1:28" x14ac:dyDescent="0.35">
      <c r="A2371" s="3"/>
      <c r="B2371" s="4"/>
      <c r="C2371" s="4"/>
      <c r="D2371" s="4"/>
      <c r="E2371" s="4"/>
      <c r="F2371" s="4"/>
      <c r="G2371" s="4"/>
      <c r="H2371" s="4"/>
      <c r="I2371" s="4"/>
      <c r="J2371" s="4"/>
      <c r="K2371" s="4"/>
      <c r="L2371" s="4"/>
      <c r="M2371" s="4"/>
      <c r="N2371" s="4"/>
      <c r="O2371" s="4"/>
      <c r="P2371" s="4"/>
      <c r="Q2371" s="4"/>
      <c r="R2371" s="4"/>
      <c r="S2371" s="4"/>
      <c r="T2371" s="4"/>
      <c r="U2371" s="4"/>
      <c r="V2371" s="4"/>
      <c r="W2371" s="4"/>
      <c r="X2371" s="4"/>
      <c r="Y2371" s="4"/>
      <c r="Z2371" s="4"/>
      <c r="AA2371" s="4"/>
      <c r="AB2371" s="5"/>
    </row>
    <row r="2372" spans="1:28" x14ac:dyDescent="0.35">
      <c r="A2372" s="3"/>
      <c r="B2372" s="4"/>
      <c r="C2372" s="4"/>
      <c r="D2372" s="4"/>
      <c r="E2372" s="4"/>
      <c r="F2372" s="4"/>
      <c r="G2372" s="4"/>
      <c r="H2372" s="4"/>
      <c r="I2372" s="4"/>
      <c r="J2372" s="4"/>
      <c r="K2372" s="4"/>
      <c r="L2372" s="4"/>
      <c r="M2372" s="4"/>
      <c r="N2372" s="4"/>
      <c r="O2372" s="4"/>
      <c r="P2372" s="4"/>
      <c r="Q2372" s="4"/>
      <c r="R2372" s="4"/>
      <c r="S2372" s="4"/>
      <c r="T2372" s="4"/>
      <c r="U2372" s="4"/>
      <c r="V2372" s="4"/>
      <c r="W2372" s="4"/>
      <c r="X2372" s="4"/>
      <c r="Y2372" s="4"/>
      <c r="Z2372" s="4"/>
      <c r="AA2372" s="4"/>
      <c r="AB2372" s="5"/>
    </row>
    <row r="2373" spans="1:28" x14ac:dyDescent="0.35">
      <c r="A2373" s="3"/>
      <c r="B2373" s="4"/>
      <c r="C2373" s="4"/>
      <c r="D2373" s="4"/>
      <c r="E2373" s="4"/>
      <c r="F2373" s="4"/>
      <c r="G2373" s="4"/>
      <c r="H2373" s="4"/>
      <c r="I2373" s="4"/>
      <c r="J2373" s="4"/>
      <c r="K2373" s="4"/>
      <c r="L2373" s="4"/>
      <c r="M2373" s="4"/>
      <c r="N2373" s="4"/>
      <c r="O2373" s="4"/>
      <c r="P2373" s="4"/>
      <c r="Q2373" s="4"/>
      <c r="R2373" s="4"/>
      <c r="S2373" s="4"/>
      <c r="T2373" s="4"/>
      <c r="U2373" s="4"/>
      <c r="V2373" s="4"/>
      <c r="W2373" s="4"/>
      <c r="X2373" s="4"/>
      <c r="Y2373" s="4"/>
      <c r="Z2373" s="4"/>
      <c r="AA2373" s="4"/>
      <c r="AB2373" s="5"/>
    </row>
    <row r="2374" spans="1:28" x14ac:dyDescent="0.35">
      <c r="A2374" s="3"/>
      <c r="B2374" s="4"/>
      <c r="C2374" s="4"/>
      <c r="D2374" s="4"/>
      <c r="E2374" s="4"/>
      <c r="F2374" s="4"/>
      <c r="G2374" s="4"/>
      <c r="H2374" s="4"/>
      <c r="I2374" s="4"/>
      <c r="J2374" s="4"/>
      <c r="K2374" s="4"/>
      <c r="L2374" s="4"/>
      <c r="M2374" s="4"/>
      <c r="N2374" s="4"/>
      <c r="O2374" s="4"/>
      <c r="P2374" s="4"/>
      <c r="Q2374" s="4"/>
      <c r="R2374" s="4"/>
      <c r="S2374" s="4"/>
      <c r="T2374" s="4"/>
      <c r="U2374" s="4"/>
      <c r="V2374" s="4"/>
      <c r="W2374" s="4"/>
      <c r="X2374" s="4"/>
      <c r="Y2374" s="4"/>
      <c r="Z2374" s="4"/>
      <c r="AA2374" s="4"/>
      <c r="AB2374" s="5"/>
    </row>
    <row r="2375" spans="1:28" x14ac:dyDescent="0.35">
      <c r="A2375" s="3"/>
      <c r="B2375" s="4"/>
      <c r="C2375" s="4"/>
      <c r="D2375" s="4"/>
      <c r="E2375" s="4"/>
      <c r="F2375" s="4"/>
      <c r="G2375" s="4"/>
      <c r="H2375" s="4"/>
      <c r="I2375" s="4"/>
      <c r="J2375" s="4"/>
      <c r="K2375" s="4"/>
      <c r="L2375" s="4"/>
      <c r="M2375" s="4"/>
      <c r="N2375" s="4"/>
      <c r="O2375" s="4"/>
      <c r="P2375" s="4"/>
      <c r="Q2375" s="4"/>
      <c r="R2375" s="4"/>
      <c r="S2375" s="4"/>
      <c r="T2375" s="4"/>
      <c r="U2375" s="4"/>
      <c r="V2375" s="4"/>
      <c r="W2375" s="4"/>
      <c r="X2375" s="4"/>
      <c r="Y2375" s="4"/>
      <c r="Z2375" s="4"/>
      <c r="AA2375" s="4"/>
      <c r="AB2375" s="5"/>
    </row>
    <row r="2376" spans="1:28" x14ac:dyDescent="0.35">
      <c r="A2376" s="3"/>
      <c r="B2376" s="4"/>
      <c r="C2376" s="4"/>
      <c r="D2376" s="4"/>
      <c r="E2376" s="4"/>
      <c r="F2376" s="4"/>
      <c r="G2376" s="4"/>
      <c r="H2376" s="4"/>
      <c r="I2376" s="4"/>
      <c r="J2376" s="4"/>
      <c r="K2376" s="4"/>
      <c r="L2376" s="4"/>
      <c r="M2376" s="4"/>
      <c r="N2376" s="4"/>
      <c r="O2376" s="4"/>
      <c r="P2376" s="4"/>
      <c r="Q2376" s="4"/>
      <c r="R2376" s="4"/>
      <c r="S2376" s="4"/>
      <c r="T2376" s="4"/>
      <c r="U2376" s="4"/>
      <c r="V2376" s="4"/>
      <c r="W2376" s="4"/>
      <c r="X2376" s="4"/>
      <c r="Y2376" s="4"/>
      <c r="Z2376" s="4"/>
      <c r="AA2376" s="4"/>
      <c r="AB2376" s="5"/>
    </row>
    <row r="2377" spans="1:28" x14ac:dyDescent="0.35">
      <c r="A2377" s="3"/>
      <c r="B2377" s="4"/>
      <c r="C2377" s="4"/>
      <c r="D2377" s="4"/>
      <c r="E2377" s="4"/>
      <c r="F2377" s="4"/>
      <c r="G2377" s="4"/>
      <c r="H2377" s="4"/>
      <c r="I2377" s="4"/>
      <c r="J2377" s="4"/>
      <c r="K2377" s="4"/>
      <c r="L2377" s="4"/>
      <c r="M2377" s="4"/>
      <c r="N2377" s="4"/>
      <c r="O2377" s="4"/>
      <c r="P2377" s="4"/>
      <c r="Q2377" s="4"/>
      <c r="R2377" s="4"/>
      <c r="S2377" s="4"/>
      <c r="T2377" s="4"/>
      <c r="U2377" s="4"/>
      <c r="V2377" s="4"/>
      <c r="W2377" s="4"/>
      <c r="X2377" s="4"/>
      <c r="Y2377" s="4"/>
      <c r="Z2377" s="4"/>
      <c r="AA2377" s="4"/>
      <c r="AB2377" s="5"/>
    </row>
    <row r="2378" spans="1:28" x14ac:dyDescent="0.35">
      <c r="A2378" s="3"/>
      <c r="B2378" s="4"/>
      <c r="C2378" s="4"/>
      <c r="D2378" s="4"/>
      <c r="E2378" s="4"/>
      <c r="F2378" s="4"/>
      <c r="G2378" s="4"/>
      <c r="H2378" s="4"/>
      <c r="I2378" s="4"/>
      <c r="J2378" s="4"/>
      <c r="K2378" s="4"/>
      <c r="L2378" s="4"/>
      <c r="M2378" s="4"/>
      <c r="N2378" s="4"/>
      <c r="O2378" s="4"/>
      <c r="P2378" s="4"/>
      <c r="Q2378" s="4"/>
      <c r="R2378" s="4"/>
      <c r="S2378" s="4"/>
      <c r="T2378" s="4"/>
      <c r="U2378" s="4"/>
      <c r="V2378" s="4"/>
      <c r="W2378" s="4"/>
      <c r="X2378" s="4"/>
      <c r="Y2378" s="4"/>
      <c r="Z2378" s="4"/>
      <c r="AA2378" s="4"/>
      <c r="AB2378" s="5"/>
    </row>
    <row r="2379" spans="1:28" x14ac:dyDescent="0.35">
      <c r="A2379" s="3"/>
      <c r="B2379" s="4"/>
      <c r="C2379" s="4"/>
      <c r="D2379" s="4"/>
      <c r="E2379" s="4"/>
      <c r="F2379" s="4"/>
      <c r="G2379" s="4"/>
      <c r="H2379" s="4"/>
      <c r="I2379" s="4"/>
      <c r="J2379" s="4"/>
      <c r="K2379" s="4"/>
      <c r="L2379" s="4"/>
      <c r="M2379" s="4"/>
      <c r="N2379" s="4"/>
      <c r="O2379" s="4"/>
      <c r="P2379" s="4"/>
      <c r="Q2379" s="4"/>
      <c r="R2379" s="4"/>
      <c r="S2379" s="4"/>
      <c r="T2379" s="4"/>
      <c r="U2379" s="4"/>
      <c r="V2379" s="4"/>
      <c r="W2379" s="4"/>
      <c r="X2379" s="4"/>
      <c r="Y2379" s="4"/>
      <c r="Z2379" s="4"/>
      <c r="AA2379" s="4"/>
      <c r="AB2379" s="5"/>
    </row>
    <row r="2380" spans="1:28" x14ac:dyDescent="0.35">
      <c r="A2380" s="3"/>
      <c r="B2380" s="4"/>
      <c r="C2380" s="4"/>
      <c r="D2380" s="4"/>
      <c r="E2380" s="4"/>
      <c r="F2380" s="4"/>
      <c r="G2380" s="4"/>
      <c r="H2380" s="4"/>
      <c r="I2380" s="4"/>
      <c r="J2380" s="4"/>
      <c r="K2380" s="4"/>
      <c r="L2380" s="4"/>
      <c r="M2380" s="4"/>
      <c r="N2380" s="4"/>
      <c r="O2380" s="4"/>
      <c r="P2380" s="4"/>
      <c r="Q2380" s="4"/>
      <c r="R2380" s="4"/>
      <c r="S2380" s="4"/>
      <c r="T2380" s="4"/>
      <c r="U2380" s="4"/>
      <c r="V2380" s="4"/>
      <c r="W2380" s="4"/>
      <c r="X2380" s="4"/>
      <c r="Y2380" s="4"/>
      <c r="Z2380" s="4"/>
      <c r="AA2380" s="4"/>
      <c r="AB2380" s="5"/>
    </row>
    <row r="2381" spans="1:28" x14ac:dyDescent="0.35">
      <c r="A2381" s="3"/>
      <c r="B2381" s="4"/>
      <c r="C2381" s="4"/>
      <c r="D2381" s="4"/>
      <c r="E2381" s="4"/>
      <c r="F2381" s="4"/>
      <c r="G2381" s="4"/>
      <c r="H2381" s="4"/>
      <c r="I2381" s="4"/>
      <c r="J2381" s="4"/>
      <c r="K2381" s="4"/>
      <c r="L2381" s="4"/>
      <c r="M2381" s="4"/>
      <c r="N2381" s="4"/>
      <c r="O2381" s="4"/>
      <c r="P2381" s="4"/>
      <c r="Q2381" s="4"/>
      <c r="R2381" s="4"/>
      <c r="S2381" s="4"/>
      <c r="T2381" s="4"/>
      <c r="U2381" s="4"/>
      <c r="V2381" s="4"/>
      <c r="W2381" s="4"/>
      <c r="X2381" s="4"/>
      <c r="Y2381" s="4"/>
      <c r="Z2381" s="4"/>
      <c r="AA2381" s="4"/>
      <c r="AB2381" s="5"/>
    </row>
    <row r="2382" spans="1:28" x14ac:dyDescent="0.35">
      <c r="A2382" s="3"/>
      <c r="B2382" s="4"/>
      <c r="C2382" s="4"/>
      <c r="D2382" s="4"/>
      <c r="E2382" s="4"/>
      <c r="F2382" s="4"/>
      <c r="G2382" s="4"/>
      <c r="H2382" s="4"/>
      <c r="I2382" s="4"/>
      <c r="J2382" s="4"/>
      <c r="K2382" s="4"/>
      <c r="L2382" s="4"/>
      <c r="M2382" s="4"/>
      <c r="N2382" s="4"/>
      <c r="O2382" s="4"/>
      <c r="P2382" s="4"/>
      <c r="Q2382" s="4"/>
      <c r="R2382" s="4"/>
      <c r="S2382" s="4"/>
      <c r="T2382" s="4"/>
      <c r="U2382" s="4"/>
      <c r="V2382" s="4"/>
      <c r="W2382" s="4"/>
      <c r="X2382" s="4"/>
      <c r="Y2382" s="4"/>
      <c r="Z2382" s="4"/>
      <c r="AA2382" s="4"/>
      <c r="AB2382" s="5"/>
    </row>
    <row r="2383" spans="1:28" x14ac:dyDescent="0.35">
      <c r="A2383" s="3"/>
      <c r="B2383" s="4"/>
      <c r="C2383" s="4"/>
      <c r="D2383" s="4"/>
      <c r="E2383" s="4"/>
      <c r="F2383" s="4"/>
      <c r="G2383" s="4"/>
      <c r="H2383" s="4"/>
      <c r="I2383" s="4"/>
      <c r="J2383" s="4"/>
      <c r="K2383" s="4"/>
      <c r="L2383" s="4"/>
      <c r="M2383" s="4"/>
      <c r="N2383" s="4"/>
      <c r="O2383" s="4"/>
      <c r="P2383" s="4"/>
      <c r="Q2383" s="4"/>
      <c r="R2383" s="4"/>
      <c r="S2383" s="4"/>
      <c r="T2383" s="4"/>
      <c r="U2383" s="4"/>
      <c r="V2383" s="4"/>
      <c r="W2383" s="4"/>
      <c r="X2383" s="4"/>
      <c r="Y2383" s="4"/>
      <c r="Z2383" s="4"/>
      <c r="AA2383" s="4"/>
      <c r="AB2383" s="5"/>
    </row>
    <row r="2384" spans="1:28" x14ac:dyDescent="0.35">
      <c r="A2384" s="3"/>
      <c r="B2384" s="4"/>
      <c r="C2384" s="4"/>
      <c r="D2384" s="4"/>
      <c r="E2384" s="4"/>
      <c r="F2384" s="4"/>
      <c r="G2384" s="4"/>
      <c r="H2384" s="4"/>
      <c r="I2384" s="4"/>
      <c r="J2384" s="4"/>
      <c r="K2384" s="4"/>
      <c r="L2384" s="4"/>
      <c r="M2384" s="4"/>
      <c r="N2384" s="4"/>
      <c r="O2384" s="4"/>
      <c r="P2384" s="4"/>
      <c r="Q2384" s="4"/>
      <c r="R2384" s="4"/>
      <c r="S2384" s="4"/>
      <c r="T2384" s="4"/>
      <c r="U2384" s="4"/>
      <c r="V2384" s="4"/>
      <c r="W2384" s="4"/>
      <c r="X2384" s="4"/>
      <c r="Y2384" s="4"/>
      <c r="Z2384" s="4"/>
      <c r="AA2384" s="4"/>
      <c r="AB2384" s="5"/>
    </row>
    <row r="2385" spans="1:28" x14ac:dyDescent="0.35">
      <c r="A2385" s="3"/>
      <c r="B2385" s="4"/>
      <c r="C2385" s="4"/>
      <c r="D2385" s="4"/>
      <c r="E2385" s="4"/>
      <c r="F2385" s="4"/>
      <c r="G2385" s="4"/>
      <c r="H2385" s="4"/>
      <c r="I2385" s="4"/>
      <c r="J2385" s="4"/>
      <c r="K2385" s="4"/>
      <c r="L2385" s="4"/>
      <c r="M2385" s="4"/>
      <c r="N2385" s="4"/>
      <c r="O2385" s="4"/>
      <c r="P2385" s="4"/>
      <c r="Q2385" s="4"/>
      <c r="R2385" s="4"/>
      <c r="S2385" s="4"/>
      <c r="T2385" s="4"/>
      <c r="U2385" s="4"/>
      <c r="V2385" s="4"/>
      <c r="W2385" s="4"/>
      <c r="X2385" s="4"/>
      <c r="Y2385" s="4"/>
      <c r="Z2385" s="4"/>
      <c r="AA2385" s="4"/>
      <c r="AB2385" s="5"/>
    </row>
    <row r="2386" spans="1:28" x14ac:dyDescent="0.35">
      <c r="A2386" s="3"/>
      <c r="B2386" s="4"/>
      <c r="C2386" s="4"/>
      <c r="D2386" s="4"/>
      <c r="E2386" s="4"/>
      <c r="F2386" s="4"/>
      <c r="G2386" s="4"/>
      <c r="H2386" s="4"/>
      <c r="I2386" s="4"/>
      <c r="J2386" s="4"/>
      <c r="K2386" s="4"/>
      <c r="L2386" s="4"/>
      <c r="M2386" s="4"/>
      <c r="N2386" s="4"/>
      <c r="O2386" s="4"/>
      <c r="P2386" s="4"/>
      <c r="Q2386" s="4"/>
      <c r="R2386" s="4"/>
      <c r="S2386" s="4"/>
      <c r="T2386" s="4"/>
      <c r="U2386" s="4"/>
      <c r="V2386" s="4"/>
      <c r="W2386" s="4"/>
      <c r="X2386" s="4"/>
      <c r="Y2386" s="4"/>
      <c r="Z2386" s="4"/>
      <c r="AA2386" s="4"/>
      <c r="AB2386" s="5"/>
    </row>
    <row r="2387" spans="1:28" x14ac:dyDescent="0.35">
      <c r="A2387" s="3"/>
      <c r="B2387" s="4"/>
      <c r="C2387" s="4"/>
      <c r="D2387" s="4"/>
      <c r="E2387" s="4"/>
      <c r="F2387" s="4"/>
      <c r="G2387" s="4"/>
      <c r="H2387" s="4"/>
      <c r="I2387" s="4"/>
      <c r="J2387" s="4"/>
      <c r="K2387" s="4"/>
      <c r="L2387" s="4"/>
      <c r="M2387" s="4"/>
      <c r="N2387" s="4"/>
      <c r="O2387" s="4"/>
      <c r="P2387" s="4"/>
      <c r="Q2387" s="4"/>
      <c r="R2387" s="4"/>
      <c r="S2387" s="4"/>
      <c r="T2387" s="4"/>
      <c r="U2387" s="4"/>
      <c r="V2387" s="4"/>
      <c r="W2387" s="4"/>
      <c r="X2387" s="4"/>
      <c r="Y2387" s="4"/>
      <c r="Z2387" s="4"/>
      <c r="AA2387" s="4"/>
      <c r="AB2387" s="5"/>
    </row>
    <row r="2388" spans="1:28" x14ac:dyDescent="0.35">
      <c r="A2388" s="3"/>
      <c r="B2388" s="4"/>
      <c r="C2388" s="4"/>
      <c r="D2388" s="4"/>
      <c r="E2388" s="4"/>
      <c r="F2388" s="4"/>
      <c r="G2388" s="4"/>
      <c r="H2388" s="4"/>
      <c r="I2388" s="4"/>
      <c r="J2388" s="4"/>
      <c r="K2388" s="4"/>
      <c r="L2388" s="4"/>
      <c r="M2388" s="4"/>
      <c r="N2388" s="4"/>
      <c r="O2388" s="4"/>
      <c r="P2388" s="4"/>
      <c r="Q2388" s="4"/>
      <c r="R2388" s="4"/>
      <c r="S2388" s="4"/>
      <c r="T2388" s="4"/>
      <c r="U2388" s="4"/>
      <c r="V2388" s="4"/>
      <c r="W2388" s="4"/>
      <c r="X2388" s="4"/>
      <c r="Y2388" s="4"/>
      <c r="Z2388" s="4"/>
      <c r="AA2388" s="4"/>
      <c r="AB2388" s="5"/>
    </row>
    <row r="2389" spans="1:28" x14ac:dyDescent="0.35">
      <c r="A2389" s="3"/>
      <c r="B2389" s="4"/>
      <c r="C2389" s="4"/>
      <c r="D2389" s="4"/>
      <c r="E2389" s="4"/>
      <c r="F2389" s="4"/>
      <c r="G2389" s="4"/>
      <c r="H2389" s="4"/>
      <c r="I2389" s="4"/>
      <c r="J2389" s="4"/>
      <c r="K2389" s="4"/>
      <c r="L2389" s="4"/>
      <c r="M2389" s="4"/>
      <c r="N2389" s="4"/>
      <c r="O2389" s="4"/>
      <c r="P2389" s="4"/>
      <c r="Q2389" s="4"/>
      <c r="R2389" s="4"/>
      <c r="S2389" s="4"/>
      <c r="T2389" s="4"/>
      <c r="U2389" s="4"/>
      <c r="V2389" s="4"/>
      <c r="W2389" s="4"/>
      <c r="X2389" s="4"/>
      <c r="Y2389" s="4"/>
      <c r="Z2389" s="4"/>
      <c r="AA2389" s="4"/>
      <c r="AB2389" s="5"/>
    </row>
    <row r="2390" spans="1:28" x14ac:dyDescent="0.35">
      <c r="A2390" s="3"/>
      <c r="B2390" s="4"/>
      <c r="C2390" s="4"/>
      <c r="D2390" s="4"/>
      <c r="E2390" s="4"/>
      <c r="F2390" s="4"/>
      <c r="G2390" s="4"/>
      <c r="H2390" s="4"/>
      <c r="I2390" s="4"/>
      <c r="J2390" s="4"/>
      <c r="K2390" s="4"/>
      <c r="L2390" s="4"/>
      <c r="M2390" s="4"/>
      <c r="N2390" s="4"/>
      <c r="O2390" s="4"/>
      <c r="P2390" s="4"/>
      <c r="Q2390" s="4"/>
      <c r="R2390" s="4"/>
      <c r="S2390" s="4"/>
      <c r="T2390" s="4"/>
      <c r="U2390" s="4"/>
      <c r="V2390" s="4"/>
      <c r="W2390" s="4"/>
      <c r="X2390" s="4"/>
      <c r="Y2390" s="4"/>
      <c r="Z2390" s="4"/>
      <c r="AA2390" s="4"/>
      <c r="AB2390" s="5"/>
    </row>
    <row r="2391" spans="1:28" x14ac:dyDescent="0.35">
      <c r="A2391" s="3"/>
      <c r="B2391" s="4"/>
      <c r="C2391" s="4"/>
      <c r="D2391" s="4"/>
      <c r="E2391" s="4"/>
      <c r="F2391" s="4"/>
      <c r="G2391" s="4"/>
      <c r="H2391" s="4"/>
      <c r="I2391" s="4"/>
      <c r="J2391" s="4"/>
      <c r="K2391" s="4"/>
      <c r="L2391" s="4"/>
      <c r="M2391" s="4"/>
      <c r="N2391" s="4"/>
      <c r="O2391" s="4"/>
      <c r="P2391" s="4"/>
      <c r="Q2391" s="4"/>
      <c r="R2391" s="4"/>
      <c r="S2391" s="4"/>
      <c r="T2391" s="4"/>
      <c r="U2391" s="4"/>
      <c r="V2391" s="4"/>
      <c r="W2391" s="4"/>
      <c r="X2391" s="4"/>
      <c r="Y2391" s="4"/>
      <c r="Z2391" s="4"/>
      <c r="AA2391" s="4"/>
      <c r="AB2391" s="5"/>
    </row>
    <row r="2392" spans="1:28" x14ac:dyDescent="0.35">
      <c r="A2392" s="3"/>
      <c r="B2392" s="4"/>
      <c r="C2392" s="4"/>
      <c r="D2392" s="4"/>
      <c r="E2392" s="4"/>
      <c r="F2392" s="4"/>
      <c r="G2392" s="4"/>
      <c r="H2392" s="4"/>
      <c r="I2392" s="4"/>
      <c r="J2392" s="4"/>
      <c r="K2392" s="4"/>
      <c r="L2392" s="4"/>
      <c r="M2392" s="4"/>
      <c r="N2392" s="4"/>
      <c r="O2392" s="4"/>
      <c r="P2392" s="4"/>
      <c r="Q2392" s="4"/>
      <c r="R2392" s="4"/>
      <c r="S2392" s="4"/>
      <c r="T2392" s="4"/>
      <c r="U2392" s="4"/>
      <c r="V2392" s="4"/>
      <c r="W2392" s="4"/>
      <c r="X2392" s="4"/>
      <c r="Y2392" s="4"/>
      <c r="Z2392" s="4"/>
      <c r="AA2392" s="4"/>
      <c r="AB2392" s="5"/>
    </row>
    <row r="2393" spans="1:28" x14ac:dyDescent="0.35">
      <c r="A2393" s="3"/>
      <c r="B2393" s="4"/>
      <c r="C2393" s="4"/>
      <c r="D2393" s="4"/>
      <c r="E2393" s="4"/>
      <c r="F2393" s="4"/>
      <c r="G2393" s="4"/>
      <c r="H2393" s="4"/>
      <c r="I2393" s="4"/>
      <c r="J2393" s="4"/>
      <c r="K2393" s="4"/>
      <c r="L2393" s="4"/>
      <c r="M2393" s="4"/>
      <c r="N2393" s="4"/>
      <c r="O2393" s="4"/>
      <c r="P2393" s="4"/>
      <c r="Q2393" s="4"/>
      <c r="R2393" s="4"/>
      <c r="S2393" s="4"/>
      <c r="T2393" s="4"/>
      <c r="U2393" s="4"/>
      <c r="V2393" s="4"/>
      <c r="W2393" s="4"/>
      <c r="X2393" s="4"/>
      <c r="Y2393" s="4"/>
      <c r="Z2393" s="4"/>
      <c r="AA2393" s="4"/>
      <c r="AB2393" s="5"/>
    </row>
    <row r="2394" spans="1:28" x14ac:dyDescent="0.35">
      <c r="A2394" s="3"/>
      <c r="B2394" s="4"/>
      <c r="C2394" s="4"/>
      <c r="D2394" s="4"/>
      <c r="E2394" s="4"/>
      <c r="F2394" s="4"/>
      <c r="G2394" s="4"/>
      <c r="H2394" s="4"/>
      <c r="I2394" s="4"/>
      <c r="J2394" s="4"/>
      <c r="K2394" s="4"/>
      <c r="L2394" s="4"/>
      <c r="M2394" s="4"/>
      <c r="N2394" s="4"/>
      <c r="O2394" s="4"/>
      <c r="P2394" s="4"/>
      <c r="Q2394" s="4"/>
      <c r="R2394" s="4"/>
      <c r="S2394" s="4"/>
      <c r="T2394" s="4"/>
      <c r="U2394" s="4"/>
      <c r="V2394" s="4"/>
      <c r="W2394" s="4"/>
      <c r="X2394" s="4"/>
      <c r="Y2394" s="4"/>
      <c r="Z2394" s="4"/>
      <c r="AA2394" s="4"/>
      <c r="AB2394" s="5"/>
    </row>
    <row r="2395" spans="1:28" x14ac:dyDescent="0.35">
      <c r="A2395" s="3"/>
      <c r="B2395" s="4"/>
      <c r="C2395" s="4"/>
      <c r="D2395" s="4"/>
      <c r="E2395" s="4"/>
      <c r="F2395" s="4"/>
      <c r="G2395" s="4"/>
      <c r="H2395" s="4"/>
      <c r="I2395" s="4"/>
      <c r="J2395" s="4"/>
      <c r="K2395" s="4"/>
      <c r="L2395" s="4"/>
      <c r="M2395" s="4"/>
      <c r="N2395" s="4"/>
      <c r="O2395" s="4"/>
      <c r="P2395" s="4"/>
      <c r="Q2395" s="4"/>
      <c r="R2395" s="4"/>
      <c r="S2395" s="4"/>
      <c r="T2395" s="4"/>
      <c r="U2395" s="4"/>
      <c r="V2395" s="4"/>
      <c r="W2395" s="4"/>
      <c r="X2395" s="4"/>
      <c r="Y2395" s="4"/>
      <c r="Z2395" s="4"/>
      <c r="AA2395" s="4"/>
      <c r="AB2395" s="5"/>
    </row>
    <row r="2396" spans="1:28" x14ac:dyDescent="0.35">
      <c r="A2396" s="3"/>
      <c r="B2396" s="4"/>
      <c r="C2396" s="4"/>
      <c r="D2396" s="4"/>
      <c r="E2396" s="4"/>
      <c r="F2396" s="4"/>
      <c r="G2396" s="4"/>
      <c r="H2396" s="4"/>
      <c r="I2396" s="4"/>
      <c r="J2396" s="4"/>
      <c r="K2396" s="4"/>
      <c r="L2396" s="4"/>
      <c r="M2396" s="4"/>
      <c r="N2396" s="4"/>
      <c r="O2396" s="4"/>
      <c r="P2396" s="4"/>
      <c r="Q2396" s="4"/>
      <c r="R2396" s="4"/>
      <c r="S2396" s="4"/>
      <c r="T2396" s="4"/>
      <c r="U2396" s="4"/>
      <c r="V2396" s="4"/>
      <c r="W2396" s="4"/>
      <c r="X2396" s="4"/>
      <c r="Y2396" s="4"/>
      <c r="Z2396" s="4"/>
      <c r="AA2396" s="4"/>
      <c r="AB2396" s="5"/>
    </row>
    <row r="2397" spans="1:28" x14ac:dyDescent="0.35">
      <c r="A2397" s="3"/>
      <c r="B2397" s="4"/>
      <c r="C2397" s="4"/>
      <c r="D2397" s="4"/>
      <c r="E2397" s="4"/>
      <c r="F2397" s="4"/>
      <c r="G2397" s="4"/>
      <c r="H2397" s="4"/>
      <c r="I2397" s="4"/>
      <c r="J2397" s="4"/>
      <c r="K2397" s="4"/>
      <c r="L2397" s="4"/>
      <c r="M2397" s="4"/>
      <c r="N2397" s="4"/>
      <c r="O2397" s="4"/>
      <c r="P2397" s="4"/>
      <c r="Q2397" s="4"/>
      <c r="R2397" s="4"/>
      <c r="S2397" s="4"/>
      <c r="T2397" s="4"/>
      <c r="U2397" s="4"/>
      <c r="V2397" s="4"/>
      <c r="W2397" s="4"/>
      <c r="X2397" s="4"/>
      <c r="Y2397" s="4"/>
      <c r="Z2397" s="4"/>
      <c r="AA2397" s="4"/>
      <c r="AB2397" s="5"/>
    </row>
    <row r="2398" spans="1:28" x14ac:dyDescent="0.35">
      <c r="A2398" s="3"/>
      <c r="B2398" s="4"/>
      <c r="C2398" s="4"/>
      <c r="D2398" s="4"/>
      <c r="E2398" s="4"/>
      <c r="F2398" s="4"/>
      <c r="G2398" s="4"/>
      <c r="H2398" s="4"/>
      <c r="I2398" s="4"/>
      <c r="J2398" s="4"/>
      <c r="K2398" s="4"/>
      <c r="L2398" s="4"/>
      <c r="M2398" s="4"/>
      <c r="N2398" s="4"/>
      <c r="O2398" s="4"/>
      <c r="P2398" s="4"/>
      <c r="Q2398" s="4"/>
      <c r="R2398" s="4"/>
      <c r="S2398" s="4"/>
      <c r="T2398" s="4"/>
      <c r="U2398" s="4"/>
      <c r="V2398" s="4"/>
      <c r="W2398" s="4"/>
      <c r="X2398" s="4"/>
      <c r="Y2398" s="4"/>
      <c r="Z2398" s="4"/>
      <c r="AA2398" s="4"/>
      <c r="AB2398" s="5"/>
    </row>
    <row r="2399" spans="1:28" x14ac:dyDescent="0.35">
      <c r="A2399" s="3"/>
      <c r="B2399" s="4"/>
      <c r="C2399" s="4"/>
      <c r="D2399" s="4"/>
      <c r="E2399" s="4"/>
      <c r="F2399" s="4"/>
      <c r="G2399" s="4"/>
      <c r="H2399" s="4"/>
      <c r="I2399" s="4"/>
      <c r="J2399" s="4"/>
      <c r="K2399" s="4"/>
      <c r="L2399" s="4"/>
      <c r="M2399" s="4"/>
      <c r="N2399" s="4"/>
      <c r="O2399" s="4"/>
      <c r="P2399" s="4"/>
      <c r="Q2399" s="4"/>
      <c r="R2399" s="4"/>
      <c r="S2399" s="4"/>
      <c r="T2399" s="4"/>
      <c r="U2399" s="4"/>
      <c r="V2399" s="4"/>
      <c r="W2399" s="4"/>
      <c r="X2399" s="4"/>
      <c r="Y2399" s="4"/>
      <c r="Z2399" s="4"/>
      <c r="AA2399" s="4"/>
      <c r="AB2399" s="5"/>
    </row>
    <row r="2400" spans="1:28" x14ac:dyDescent="0.35">
      <c r="A2400" s="3"/>
      <c r="B2400" s="4"/>
      <c r="C2400" s="4"/>
      <c r="D2400" s="4"/>
      <c r="E2400" s="4"/>
      <c r="F2400" s="4"/>
      <c r="G2400" s="4"/>
      <c r="H2400" s="4"/>
      <c r="I2400" s="4"/>
      <c r="J2400" s="4"/>
      <c r="K2400" s="4"/>
      <c r="L2400" s="4"/>
      <c r="M2400" s="4"/>
      <c r="N2400" s="4"/>
      <c r="O2400" s="4"/>
      <c r="P2400" s="4"/>
      <c r="Q2400" s="4"/>
      <c r="R2400" s="4"/>
      <c r="S2400" s="4"/>
      <c r="T2400" s="4"/>
      <c r="U2400" s="4"/>
      <c r="V2400" s="4"/>
      <c r="W2400" s="4"/>
      <c r="X2400" s="4"/>
      <c r="Y2400" s="4"/>
      <c r="Z2400" s="4"/>
      <c r="AA2400" s="4"/>
      <c r="AB2400" s="5"/>
    </row>
    <row r="2401" spans="1:28" x14ac:dyDescent="0.35">
      <c r="A2401" s="3"/>
      <c r="B2401" s="4"/>
      <c r="C2401" s="4"/>
      <c r="D2401" s="4"/>
      <c r="E2401" s="4"/>
      <c r="F2401" s="4"/>
      <c r="G2401" s="4"/>
      <c r="H2401" s="4"/>
      <c r="I2401" s="4"/>
      <c r="J2401" s="4"/>
      <c r="K2401" s="4"/>
      <c r="L2401" s="4"/>
      <c r="M2401" s="4"/>
      <c r="N2401" s="4"/>
      <c r="O2401" s="4"/>
      <c r="P2401" s="4"/>
      <c r="Q2401" s="4"/>
      <c r="R2401" s="4"/>
      <c r="S2401" s="4"/>
      <c r="T2401" s="4"/>
      <c r="U2401" s="4"/>
      <c r="V2401" s="4"/>
      <c r="W2401" s="4"/>
      <c r="X2401" s="4"/>
      <c r="Y2401" s="4"/>
      <c r="Z2401" s="4"/>
      <c r="AA2401" s="4"/>
      <c r="AB2401" s="5"/>
    </row>
    <row r="2402" spans="1:28" x14ac:dyDescent="0.35">
      <c r="A2402" s="3"/>
      <c r="B2402" s="4"/>
      <c r="C2402" s="4"/>
      <c r="D2402" s="4"/>
      <c r="E2402" s="4"/>
      <c r="F2402" s="4"/>
      <c r="G2402" s="4"/>
      <c r="H2402" s="4"/>
      <c r="I2402" s="4"/>
      <c r="J2402" s="4"/>
      <c r="K2402" s="4"/>
      <c r="L2402" s="4"/>
      <c r="M2402" s="4"/>
      <c r="N2402" s="4"/>
      <c r="O2402" s="4"/>
      <c r="P2402" s="4"/>
      <c r="Q2402" s="4"/>
      <c r="R2402" s="4"/>
      <c r="S2402" s="4"/>
      <c r="T2402" s="4"/>
      <c r="U2402" s="4"/>
      <c r="V2402" s="4"/>
      <c r="W2402" s="4"/>
      <c r="X2402" s="4"/>
      <c r="Y2402" s="4"/>
      <c r="Z2402" s="4"/>
      <c r="AA2402" s="4"/>
      <c r="AB2402" s="5"/>
    </row>
    <row r="2403" spans="1:28" x14ac:dyDescent="0.35">
      <c r="A2403" s="3"/>
      <c r="B2403" s="4"/>
      <c r="C2403" s="4"/>
      <c r="D2403" s="4"/>
      <c r="E2403" s="4"/>
      <c r="F2403" s="4"/>
      <c r="G2403" s="4"/>
      <c r="H2403" s="4"/>
      <c r="I2403" s="4"/>
      <c r="J2403" s="4"/>
      <c r="K2403" s="4"/>
      <c r="L2403" s="4"/>
      <c r="M2403" s="4"/>
      <c r="N2403" s="4"/>
      <c r="O2403" s="4"/>
      <c r="P2403" s="4"/>
      <c r="Q2403" s="4"/>
      <c r="R2403" s="4"/>
      <c r="S2403" s="4"/>
      <c r="T2403" s="4"/>
      <c r="U2403" s="4"/>
      <c r="V2403" s="4"/>
      <c r="W2403" s="4"/>
      <c r="X2403" s="4"/>
      <c r="Y2403" s="4"/>
      <c r="Z2403" s="4"/>
      <c r="AA2403" s="4"/>
      <c r="AB2403" s="5"/>
    </row>
    <row r="2404" spans="1:28" x14ac:dyDescent="0.35">
      <c r="A2404" s="3"/>
      <c r="B2404" s="4"/>
      <c r="C2404" s="4"/>
      <c r="D2404" s="4"/>
      <c r="E2404" s="4"/>
      <c r="F2404" s="4"/>
      <c r="G2404" s="4"/>
      <c r="H2404" s="4"/>
      <c r="I2404" s="4"/>
      <c r="J2404" s="4"/>
      <c r="K2404" s="4"/>
      <c r="L2404" s="4"/>
      <c r="M2404" s="4"/>
      <c r="N2404" s="4"/>
      <c r="O2404" s="4"/>
      <c r="P2404" s="4"/>
      <c r="Q2404" s="4"/>
      <c r="R2404" s="4"/>
      <c r="S2404" s="4"/>
      <c r="T2404" s="4"/>
      <c r="U2404" s="4"/>
      <c r="V2404" s="4"/>
      <c r="W2404" s="4"/>
      <c r="X2404" s="4"/>
      <c r="Y2404" s="4"/>
      <c r="Z2404" s="4"/>
      <c r="AA2404" s="4"/>
      <c r="AB2404" s="5"/>
    </row>
    <row r="2405" spans="1:28" x14ac:dyDescent="0.35">
      <c r="A2405" s="3"/>
      <c r="B2405" s="4"/>
      <c r="C2405" s="4"/>
      <c r="D2405" s="4"/>
      <c r="E2405" s="4"/>
      <c r="F2405" s="4"/>
      <c r="G2405" s="4"/>
      <c r="H2405" s="4"/>
      <c r="I2405" s="4"/>
      <c r="J2405" s="4"/>
      <c r="K2405" s="4"/>
      <c r="L2405" s="4"/>
      <c r="M2405" s="4"/>
      <c r="N2405" s="4"/>
      <c r="O2405" s="4"/>
      <c r="P2405" s="4"/>
      <c r="Q2405" s="4"/>
      <c r="R2405" s="4"/>
      <c r="S2405" s="4"/>
      <c r="T2405" s="4"/>
      <c r="U2405" s="4"/>
      <c r="V2405" s="4"/>
      <c r="W2405" s="4"/>
      <c r="X2405" s="4"/>
      <c r="Y2405" s="4"/>
      <c r="Z2405" s="4"/>
      <c r="AA2405" s="4"/>
      <c r="AB2405" s="5"/>
    </row>
    <row r="2406" spans="1:28" x14ac:dyDescent="0.35">
      <c r="A2406" s="3"/>
      <c r="B2406" s="4"/>
      <c r="C2406" s="4"/>
      <c r="D2406" s="4"/>
      <c r="E2406" s="4"/>
      <c r="F2406" s="4"/>
      <c r="G2406" s="4"/>
      <c r="H2406" s="4"/>
      <c r="I2406" s="4"/>
      <c r="J2406" s="4"/>
      <c r="K2406" s="4"/>
      <c r="L2406" s="4"/>
      <c r="M2406" s="4"/>
      <c r="N2406" s="4"/>
      <c r="O2406" s="4"/>
      <c r="P2406" s="4"/>
      <c r="Q2406" s="4"/>
      <c r="R2406" s="4"/>
      <c r="S2406" s="4"/>
      <c r="T2406" s="4"/>
      <c r="U2406" s="4"/>
      <c r="V2406" s="4"/>
      <c r="W2406" s="4"/>
      <c r="X2406" s="4"/>
      <c r="Y2406" s="4"/>
      <c r="Z2406" s="4"/>
      <c r="AA2406" s="4"/>
      <c r="AB2406" s="5"/>
    </row>
    <row r="2407" spans="1:28" x14ac:dyDescent="0.35">
      <c r="A2407" s="3"/>
      <c r="B2407" s="4"/>
      <c r="C2407" s="4"/>
      <c r="D2407" s="4"/>
      <c r="E2407" s="4"/>
      <c r="F2407" s="4"/>
      <c r="G2407" s="4"/>
      <c r="H2407" s="4"/>
      <c r="I2407" s="4"/>
      <c r="J2407" s="4"/>
      <c r="K2407" s="4"/>
      <c r="L2407" s="4"/>
      <c r="M2407" s="4"/>
      <c r="N2407" s="4"/>
      <c r="O2407" s="4"/>
      <c r="P2407" s="4"/>
      <c r="Q2407" s="4"/>
      <c r="R2407" s="4"/>
      <c r="S2407" s="4"/>
      <c r="T2407" s="4"/>
      <c r="U2407" s="4"/>
      <c r="V2407" s="4"/>
      <c r="W2407" s="4"/>
      <c r="X2407" s="4"/>
      <c r="Y2407" s="4"/>
      <c r="Z2407" s="4"/>
      <c r="AA2407" s="4"/>
      <c r="AB2407" s="5"/>
    </row>
    <row r="2408" spans="1:28" x14ac:dyDescent="0.35">
      <c r="A2408" s="3"/>
      <c r="B2408" s="4"/>
      <c r="C2408" s="4"/>
      <c r="D2408" s="4"/>
      <c r="E2408" s="4"/>
      <c r="F2408" s="4"/>
      <c r="G2408" s="4"/>
      <c r="H2408" s="4"/>
      <c r="I2408" s="4"/>
      <c r="J2408" s="4"/>
      <c r="K2408" s="4"/>
      <c r="L2408" s="4"/>
      <c r="M2408" s="4"/>
      <c r="N2408" s="4"/>
      <c r="O2408" s="4"/>
      <c r="P2408" s="4"/>
      <c r="Q2408" s="4"/>
      <c r="R2408" s="4"/>
      <c r="S2408" s="4"/>
      <c r="T2408" s="4"/>
      <c r="U2408" s="4"/>
      <c r="V2408" s="4"/>
      <c r="W2408" s="4"/>
      <c r="X2408" s="4"/>
      <c r="Y2408" s="4"/>
      <c r="Z2408" s="4"/>
      <c r="AA2408" s="4"/>
      <c r="AB2408" s="5"/>
    </row>
    <row r="2409" spans="1:28" x14ac:dyDescent="0.35">
      <c r="A2409" s="3"/>
      <c r="B2409" s="4"/>
      <c r="C2409" s="4"/>
      <c r="D2409" s="4"/>
      <c r="E2409" s="4"/>
      <c r="F2409" s="4"/>
      <c r="G2409" s="4"/>
      <c r="H2409" s="4"/>
      <c r="I2409" s="4"/>
      <c r="J2409" s="4"/>
      <c r="K2409" s="4"/>
      <c r="L2409" s="4"/>
      <c r="M2409" s="4"/>
      <c r="N2409" s="4"/>
      <c r="O2409" s="4"/>
      <c r="P2409" s="4"/>
      <c r="Q2409" s="4"/>
      <c r="R2409" s="4"/>
      <c r="S2409" s="4"/>
      <c r="T2409" s="4"/>
      <c r="U2409" s="4"/>
      <c r="V2409" s="4"/>
      <c r="W2409" s="4"/>
      <c r="X2409" s="4"/>
      <c r="Y2409" s="4"/>
      <c r="Z2409" s="4"/>
      <c r="AA2409" s="4"/>
      <c r="AB2409" s="5"/>
    </row>
    <row r="2410" spans="1:28" x14ac:dyDescent="0.35">
      <c r="A2410" s="3"/>
      <c r="B2410" s="4"/>
      <c r="C2410" s="4"/>
      <c r="D2410" s="4"/>
      <c r="E2410" s="4"/>
      <c r="F2410" s="4"/>
      <c r="G2410" s="4"/>
      <c r="H2410" s="4"/>
      <c r="I2410" s="4"/>
      <c r="J2410" s="4"/>
      <c r="K2410" s="4"/>
      <c r="L2410" s="4"/>
      <c r="M2410" s="4"/>
      <c r="N2410" s="4"/>
      <c r="O2410" s="4"/>
      <c r="P2410" s="4"/>
      <c r="Q2410" s="4"/>
      <c r="R2410" s="4"/>
      <c r="S2410" s="4"/>
      <c r="T2410" s="4"/>
      <c r="U2410" s="4"/>
      <c r="V2410" s="4"/>
      <c r="W2410" s="4"/>
      <c r="X2410" s="4"/>
      <c r="Y2410" s="4"/>
      <c r="Z2410" s="4"/>
      <c r="AA2410" s="4"/>
      <c r="AB2410" s="5"/>
    </row>
    <row r="2411" spans="1:28" x14ac:dyDescent="0.35">
      <c r="A2411" s="3"/>
      <c r="B2411" s="4"/>
      <c r="C2411" s="4"/>
      <c r="D2411" s="4"/>
      <c r="E2411" s="4"/>
      <c r="F2411" s="4"/>
      <c r="G2411" s="4"/>
      <c r="H2411" s="4"/>
      <c r="I2411" s="4"/>
      <c r="J2411" s="4"/>
      <c r="K2411" s="4"/>
      <c r="L2411" s="4"/>
      <c r="M2411" s="4"/>
      <c r="N2411" s="4"/>
      <c r="O2411" s="4"/>
      <c r="P2411" s="4"/>
      <c r="Q2411" s="4"/>
      <c r="R2411" s="4"/>
      <c r="S2411" s="4"/>
      <c r="T2411" s="4"/>
      <c r="U2411" s="4"/>
      <c r="V2411" s="4"/>
      <c r="W2411" s="4"/>
      <c r="X2411" s="4"/>
      <c r="Y2411" s="4"/>
      <c r="Z2411" s="4"/>
      <c r="AA2411" s="4"/>
      <c r="AB2411" s="5"/>
    </row>
    <row r="2412" spans="1:28" x14ac:dyDescent="0.35">
      <c r="A2412" s="3"/>
      <c r="B2412" s="4"/>
      <c r="C2412" s="4"/>
      <c r="D2412" s="4"/>
      <c r="E2412" s="4"/>
      <c r="F2412" s="4"/>
      <c r="G2412" s="4"/>
      <c r="H2412" s="4"/>
      <c r="I2412" s="4"/>
      <c r="J2412" s="4"/>
      <c r="K2412" s="4"/>
      <c r="L2412" s="4"/>
      <c r="M2412" s="4"/>
      <c r="N2412" s="4"/>
      <c r="O2412" s="4"/>
      <c r="P2412" s="4"/>
      <c r="Q2412" s="4"/>
      <c r="R2412" s="4"/>
      <c r="S2412" s="4"/>
      <c r="T2412" s="4"/>
      <c r="U2412" s="4"/>
      <c r="V2412" s="4"/>
      <c r="W2412" s="4"/>
      <c r="X2412" s="4"/>
      <c r="Y2412" s="4"/>
      <c r="Z2412" s="4"/>
      <c r="AA2412" s="4"/>
      <c r="AB2412" s="5"/>
    </row>
    <row r="2413" spans="1:28" x14ac:dyDescent="0.35">
      <c r="A2413" s="3"/>
      <c r="B2413" s="4"/>
      <c r="C2413" s="4"/>
      <c r="D2413" s="4"/>
      <c r="E2413" s="4"/>
      <c r="F2413" s="4"/>
      <c r="G2413" s="4"/>
      <c r="H2413" s="4"/>
      <c r="I2413" s="4"/>
      <c r="J2413" s="4"/>
      <c r="K2413" s="4"/>
      <c r="L2413" s="4"/>
      <c r="M2413" s="4"/>
      <c r="N2413" s="4"/>
      <c r="O2413" s="4"/>
      <c r="P2413" s="4"/>
      <c r="Q2413" s="4"/>
      <c r="R2413" s="4"/>
      <c r="S2413" s="4"/>
      <c r="T2413" s="4"/>
      <c r="U2413" s="4"/>
      <c r="V2413" s="4"/>
      <c r="W2413" s="4"/>
      <c r="X2413" s="4"/>
      <c r="Y2413" s="4"/>
      <c r="Z2413" s="4"/>
      <c r="AA2413" s="4"/>
      <c r="AB2413" s="5"/>
    </row>
    <row r="2414" spans="1:28" x14ac:dyDescent="0.35">
      <c r="A2414" s="3"/>
      <c r="B2414" s="4"/>
      <c r="C2414" s="4"/>
      <c r="D2414" s="4"/>
      <c r="E2414" s="4"/>
      <c r="F2414" s="4"/>
      <c r="G2414" s="4"/>
      <c r="H2414" s="4"/>
      <c r="I2414" s="4"/>
      <c r="J2414" s="4"/>
      <c r="K2414" s="4"/>
      <c r="L2414" s="4"/>
      <c r="M2414" s="4"/>
      <c r="N2414" s="4"/>
      <c r="O2414" s="4"/>
      <c r="P2414" s="4"/>
      <c r="Q2414" s="4"/>
      <c r="R2414" s="4"/>
      <c r="S2414" s="4"/>
      <c r="T2414" s="4"/>
      <c r="U2414" s="4"/>
      <c r="V2414" s="4"/>
      <c r="W2414" s="4"/>
      <c r="X2414" s="4"/>
      <c r="Y2414" s="4"/>
      <c r="Z2414" s="4"/>
      <c r="AA2414" s="4"/>
      <c r="AB2414" s="5"/>
    </row>
    <row r="2415" spans="1:28" x14ac:dyDescent="0.35">
      <c r="A2415" s="3"/>
      <c r="B2415" s="4"/>
      <c r="C2415" s="4"/>
      <c r="D2415" s="4"/>
      <c r="E2415" s="4"/>
      <c r="F2415" s="4"/>
      <c r="G2415" s="4"/>
      <c r="H2415" s="4"/>
      <c r="I2415" s="4"/>
      <c r="J2415" s="4"/>
      <c r="K2415" s="4"/>
      <c r="L2415" s="4"/>
      <c r="M2415" s="4"/>
      <c r="N2415" s="4"/>
      <c r="O2415" s="4"/>
      <c r="P2415" s="4"/>
      <c r="Q2415" s="4"/>
      <c r="R2415" s="4"/>
      <c r="S2415" s="4"/>
      <c r="T2415" s="4"/>
      <c r="U2415" s="4"/>
      <c r="V2415" s="4"/>
      <c r="W2415" s="4"/>
      <c r="X2415" s="4"/>
      <c r="Y2415" s="4"/>
      <c r="Z2415" s="4"/>
      <c r="AA2415" s="4"/>
      <c r="AB2415" s="5"/>
    </row>
    <row r="2416" spans="1:28" x14ac:dyDescent="0.35">
      <c r="A2416" s="3"/>
      <c r="B2416" s="4"/>
      <c r="C2416" s="4"/>
      <c r="D2416" s="4"/>
      <c r="E2416" s="4"/>
      <c r="F2416" s="4"/>
      <c r="G2416" s="4"/>
      <c r="H2416" s="4"/>
      <c r="I2416" s="4"/>
      <c r="J2416" s="4"/>
      <c r="K2416" s="4"/>
      <c r="L2416" s="4"/>
      <c r="M2416" s="4"/>
      <c r="N2416" s="4"/>
      <c r="O2416" s="4"/>
      <c r="P2416" s="4"/>
      <c r="Q2416" s="4"/>
      <c r="R2416" s="4"/>
      <c r="S2416" s="4"/>
      <c r="T2416" s="4"/>
      <c r="U2416" s="4"/>
      <c r="V2416" s="4"/>
      <c r="W2416" s="4"/>
      <c r="X2416" s="4"/>
      <c r="Y2416" s="4"/>
      <c r="Z2416" s="4"/>
      <c r="AA2416" s="4"/>
      <c r="AB2416" s="5"/>
    </row>
    <row r="2417" spans="1:28" x14ac:dyDescent="0.35">
      <c r="A2417" s="3"/>
      <c r="B2417" s="4"/>
      <c r="C2417" s="4"/>
      <c r="D2417" s="4"/>
      <c r="E2417" s="4"/>
      <c r="F2417" s="4"/>
      <c r="G2417" s="4"/>
      <c r="H2417" s="4"/>
      <c r="I2417" s="4"/>
      <c r="J2417" s="4"/>
      <c r="K2417" s="4"/>
      <c r="L2417" s="4"/>
      <c r="M2417" s="4"/>
      <c r="N2417" s="4"/>
      <c r="O2417" s="4"/>
      <c r="P2417" s="4"/>
      <c r="Q2417" s="4"/>
      <c r="R2417" s="4"/>
      <c r="S2417" s="4"/>
      <c r="T2417" s="4"/>
      <c r="U2417" s="4"/>
      <c r="V2417" s="4"/>
      <c r="W2417" s="4"/>
      <c r="X2417" s="4"/>
      <c r="Y2417" s="4"/>
      <c r="Z2417" s="4"/>
      <c r="AA2417" s="4"/>
      <c r="AB2417" s="5"/>
    </row>
    <row r="2418" spans="1:28" x14ac:dyDescent="0.35">
      <c r="A2418" s="3"/>
      <c r="B2418" s="4"/>
      <c r="C2418" s="4"/>
      <c r="D2418" s="4"/>
      <c r="E2418" s="4"/>
      <c r="F2418" s="4"/>
      <c r="G2418" s="4"/>
      <c r="H2418" s="4"/>
      <c r="I2418" s="4"/>
      <c r="J2418" s="4"/>
      <c r="K2418" s="4"/>
      <c r="L2418" s="4"/>
      <c r="M2418" s="4"/>
      <c r="N2418" s="4"/>
      <c r="O2418" s="4"/>
      <c r="P2418" s="4"/>
      <c r="Q2418" s="4"/>
      <c r="R2418" s="4"/>
      <c r="S2418" s="4"/>
      <c r="T2418" s="4"/>
      <c r="U2418" s="4"/>
      <c r="V2418" s="4"/>
      <c r="W2418" s="4"/>
      <c r="X2418" s="4"/>
      <c r="Y2418" s="4"/>
      <c r="Z2418" s="4"/>
      <c r="AA2418" s="4"/>
      <c r="AB2418" s="5"/>
    </row>
    <row r="2419" spans="1:28" x14ac:dyDescent="0.35">
      <c r="A2419" s="3"/>
      <c r="B2419" s="4"/>
      <c r="C2419" s="4"/>
      <c r="D2419" s="4"/>
      <c r="E2419" s="4"/>
      <c r="F2419" s="4"/>
      <c r="G2419" s="4"/>
      <c r="H2419" s="4"/>
      <c r="I2419" s="4"/>
      <c r="J2419" s="4"/>
      <c r="K2419" s="4"/>
      <c r="L2419" s="4"/>
      <c r="M2419" s="4"/>
      <c r="N2419" s="4"/>
      <c r="O2419" s="4"/>
      <c r="P2419" s="4"/>
      <c r="Q2419" s="4"/>
      <c r="R2419" s="4"/>
      <c r="S2419" s="4"/>
      <c r="T2419" s="4"/>
      <c r="U2419" s="4"/>
      <c r="V2419" s="4"/>
      <c r="W2419" s="4"/>
      <c r="X2419" s="4"/>
      <c r="Y2419" s="4"/>
      <c r="Z2419" s="4"/>
      <c r="AA2419" s="4"/>
      <c r="AB2419" s="5"/>
    </row>
    <row r="2420" spans="1:28" x14ac:dyDescent="0.35">
      <c r="A2420" s="3"/>
      <c r="B2420" s="4"/>
      <c r="C2420" s="4"/>
      <c r="D2420" s="4"/>
      <c r="E2420" s="4"/>
      <c r="F2420" s="4"/>
      <c r="G2420" s="4"/>
      <c r="H2420" s="4"/>
      <c r="I2420" s="4"/>
      <c r="J2420" s="4"/>
      <c r="K2420" s="4"/>
      <c r="L2420" s="4"/>
      <c r="M2420" s="4"/>
      <c r="N2420" s="4"/>
      <c r="O2420" s="4"/>
      <c r="P2420" s="4"/>
      <c r="Q2420" s="4"/>
      <c r="R2420" s="4"/>
      <c r="S2420" s="4"/>
      <c r="T2420" s="4"/>
      <c r="U2420" s="4"/>
      <c r="V2420" s="4"/>
      <c r="W2420" s="4"/>
      <c r="X2420" s="4"/>
      <c r="Y2420" s="4"/>
      <c r="Z2420" s="4"/>
      <c r="AA2420" s="4"/>
      <c r="AB2420" s="5"/>
    </row>
    <row r="2421" spans="1:28" x14ac:dyDescent="0.35">
      <c r="A2421" s="3"/>
      <c r="B2421" s="4"/>
      <c r="C2421" s="4"/>
      <c r="D2421" s="4"/>
      <c r="E2421" s="4"/>
      <c r="F2421" s="4"/>
      <c r="G2421" s="4"/>
      <c r="H2421" s="4"/>
      <c r="I2421" s="4"/>
      <c r="J2421" s="4"/>
      <c r="K2421" s="4"/>
      <c r="L2421" s="4"/>
      <c r="M2421" s="4"/>
      <c r="N2421" s="4"/>
      <c r="O2421" s="4"/>
      <c r="P2421" s="4"/>
      <c r="Q2421" s="4"/>
      <c r="R2421" s="4"/>
      <c r="S2421" s="4"/>
      <c r="T2421" s="4"/>
      <c r="U2421" s="4"/>
      <c r="V2421" s="4"/>
      <c r="W2421" s="4"/>
      <c r="X2421" s="4"/>
      <c r="Y2421" s="4"/>
      <c r="Z2421" s="4"/>
      <c r="AA2421" s="4"/>
      <c r="AB2421" s="5"/>
    </row>
    <row r="2422" spans="1:28" x14ac:dyDescent="0.35">
      <c r="A2422" s="3"/>
      <c r="B2422" s="4"/>
      <c r="C2422" s="4"/>
      <c r="D2422" s="4"/>
      <c r="E2422" s="4"/>
      <c r="F2422" s="4"/>
      <c r="G2422" s="4"/>
      <c r="H2422" s="4"/>
      <c r="I2422" s="4"/>
      <c r="J2422" s="4"/>
      <c r="K2422" s="4"/>
      <c r="L2422" s="4"/>
      <c r="M2422" s="4"/>
      <c r="N2422" s="4"/>
      <c r="O2422" s="4"/>
      <c r="P2422" s="4"/>
      <c r="Q2422" s="4"/>
      <c r="R2422" s="4"/>
      <c r="S2422" s="4"/>
      <c r="T2422" s="4"/>
      <c r="U2422" s="4"/>
      <c r="V2422" s="4"/>
      <c r="W2422" s="4"/>
      <c r="X2422" s="4"/>
      <c r="Y2422" s="4"/>
      <c r="Z2422" s="4"/>
      <c r="AA2422" s="4"/>
      <c r="AB2422" s="5"/>
    </row>
    <row r="2423" spans="1:28" x14ac:dyDescent="0.35">
      <c r="A2423" s="3"/>
      <c r="B2423" s="4"/>
      <c r="C2423" s="4"/>
      <c r="D2423" s="4"/>
      <c r="E2423" s="4"/>
      <c r="F2423" s="4"/>
      <c r="G2423" s="4"/>
      <c r="H2423" s="4"/>
      <c r="I2423" s="4"/>
      <c r="J2423" s="4"/>
      <c r="K2423" s="4"/>
      <c r="L2423" s="4"/>
      <c r="M2423" s="4"/>
      <c r="N2423" s="4"/>
      <c r="O2423" s="4"/>
      <c r="P2423" s="4"/>
      <c r="Q2423" s="4"/>
      <c r="R2423" s="4"/>
      <c r="S2423" s="4"/>
      <c r="T2423" s="4"/>
      <c r="U2423" s="4"/>
      <c r="V2423" s="4"/>
      <c r="W2423" s="4"/>
      <c r="X2423" s="4"/>
      <c r="Y2423" s="4"/>
      <c r="Z2423" s="4"/>
      <c r="AA2423" s="4"/>
      <c r="AB2423" s="5"/>
    </row>
    <row r="2424" spans="1:28" x14ac:dyDescent="0.35">
      <c r="A2424" s="3"/>
      <c r="B2424" s="4"/>
      <c r="C2424" s="4"/>
      <c r="D2424" s="4"/>
      <c r="E2424" s="4"/>
      <c r="F2424" s="4"/>
      <c r="G2424" s="4"/>
      <c r="H2424" s="4"/>
      <c r="I2424" s="4"/>
      <c r="J2424" s="4"/>
      <c r="K2424" s="4"/>
      <c r="L2424" s="4"/>
      <c r="M2424" s="4"/>
      <c r="N2424" s="4"/>
      <c r="O2424" s="4"/>
      <c r="P2424" s="4"/>
      <c r="Q2424" s="4"/>
      <c r="R2424" s="4"/>
      <c r="S2424" s="4"/>
      <c r="T2424" s="4"/>
      <c r="U2424" s="4"/>
      <c r="V2424" s="4"/>
      <c r="W2424" s="4"/>
      <c r="X2424" s="4"/>
      <c r="Y2424" s="4"/>
      <c r="Z2424" s="4"/>
      <c r="AA2424" s="4"/>
      <c r="AB2424" s="5"/>
    </row>
    <row r="2425" spans="1:28" x14ac:dyDescent="0.35">
      <c r="A2425" s="3"/>
      <c r="B2425" s="4"/>
      <c r="C2425" s="4"/>
      <c r="D2425" s="4"/>
      <c r="E2425" s="4"/>
      <c r="F2425" s="4"/>
      <c r="G2425" s="4"/>
      <c r="H2425" s="4"/>
      <c r="I2425" s="4"/>
      <c r="J2425" s="4"/>
      <c r="K2425" s="4"/>
      <c r="L2425" s="4"/>
      <c r="M2425" s="4"/>
      <c r="N2425" s="4"/>
      <c r="O2425" s="4"/>
      <c r="P2425" s="4"/>
      <c r="Q2425" s="4"/>
      <c r="R2425" s="4"/>
      <c r="S2425" s="4"/>
      <c r="T2425" s="4"/>
      <c r="U2425" s="4"/>
      <c r="V2425" s="4"/>
      <c r="W2425" s="4"/>
      <c r="X2425" s="4"/>
      <c r="Y2425" s="4"/>
      <c r="Z2425" s="4"/>
      <c r="AA2425" s="4"/>
      <c r="AB2425" s="5"/>
    </row>
    <row r="2426" spans="1:28" x14ac:dyDescent="0.35">
      <c r="A2426" s="3"/>
      <c r="B2426" s="4"/>
      <c r="C2426" s="4"/>
      <c r="D2426" s="4"/>
      <c r="E2426" s="4"/>
      <c r="F2426" s="4"/>
      <c r="G2426" s="4"/>
      <c r="H2426" s="4"/>
      <c r="I2426" s="4"/>
      <c r="J2426" s="4"/>
      <c r="K2426" s="4"/>
      <c r="L2426" s="4"/>
      <c r="M2426" s="4"/>
      <c r="N2426" s="4"/>
      <c r="O2426" s="4"/>
      <c r="P2426" s="4"/>
      <c r="Q2426" s="4"/>
      <c r="R2426" s="4"/>
      <c r="S2426" s="4"/>
      <c r="T2426" s="4"/>
      <c r="U2426" s="4"/>
      <c r="V2426" s="4"/>
      <c r="W2426" s="4"/>
      <c r="X2426" s="4"/>
      <c r="Y2426" s="4"/>
      <c r="Z2426" s="4"/>
      <c r="AA2426" s="4"/>
      <c r="AB2426" s="5"/>
    </row>
    <row r="2427" spans="1:28" x14ac:dyDescent="0.35">
      <c r="A2427" s="3"/>
      <c r="B2427" s="4"/>
      <c r="C2427" s="4"/>
      <c r="D2427" s="4"/>
      <c r="E2427" s="4"/>
      <c r="F2427" s="4"/>
      <c r="G2427" s="4"/>
      <c r="H2427" s="4"/>
      <c r="I2427" s="4"/>
      <c r="J2427" s="4"/>
      <c r="K2427" s="4"/>
      <c r="L2427" s="4"/>
      <c r="M2427" s="4"/>
      <c r="N2427" s="4"/>
      <c r="O2427" s="4"/>
      <c r="P2427" s="4"/>
      <c r="Q2427" s="4"/>
      <c r="R2427" s="4"/>
      <c r="S2427" s="4"/>
      <c r="T2427" s="4"/>
      <c r="U2427" s="4"/>
      <c r="V2427" s="4"/>
      <c r="W2427" s="4"/>
      <c r="X2427" s="4"/>
      <c r="Y2427" s="4"/>
      <c r="Z2427" s="4"/>
      <c r="AA2427" s="4"/>
      <c r="AB2427" s="5"/>
    </row>
    <row r="2428" spans="1:28" x14ac:dyDescent="0.35">
      <c r="A2428" s="3"/>
      <c r="B2428" s="4"/>
      <c r="C2428" s="4"/>
      <c r="D2428" s="4"/>
      <c r="E2428" s="4"/>
      <c r="F2428" s="4"/>
      <c r="G2428" s="4"/>
      <c r="H2428" s="4"/>
      <c r="I2428" s="4"/>
      <c r="J2428" s="4"/>
      <c r="K2428" s="4"/>
      <c r="L2428" s="4"/>
      <c r="M2428" s="4"/>
      <c r="N2428" s="4"/>
      <c r="O2428" s="4"/>
      <c r="P2428" s="4"/>
      <c r="Q2428" s="4"/>
      <c r="R2428" s="4"/>
      <c r="S2428" s="4"/>
      <c r="T2428" s="4"/>
      <c r="U2428" s="4"/>
      <c r="V2428" s="4"/>
      <c r="W2428" s="4"/>
      <c r="X2428" s="4"/>
      <c r="Y2428" s="4"/>
      <c r="Z2428" s="4"/>
      <c r="AA2428" s="4"/>
      <c r="AB2428" s="5"/>
    </row>
    <row r="2429" spans="1:28" x14ac:dyDescent="0.35">
      <c r="A2429" s="3"/>
      <c r="B2429" s="4"/>
      <c r="C2429" s="4"/>
      <c r="D2429" s="4"/>
      <c r="E2429" s="4"/>
      <c r="F2429" s="4"/>
      <c r="G2429" s="4"/>
      <c r="H2429" s="4"/>
      <c r="I2429" s="4"/>
      <c r="J2429" s="4"/>
      <c r="K2429" s="4"/>
      <c r="L2429" s="4"/>
      <c r="M2429" s="4"/>
      <c r="N2429" s="4"/>
      <c r="O2429" s="4"/>
      <c r="P2429" s="4"/>
      <c r="Q2429" s="4"/>
      <c r="R2429" s="4"/>
      <c r="S2429" s="4"/>
      <c r="T2429" s="4"/>
      <c r="U2429" s="4"/>
      <c r="V2429" s="4"/>
      <c r="W2429" s="4"/>
      <c r="X2429" s="4"/>
      <c r="Y2429" s="4"/>
      <c r="Z2429" s="4"/>
      <c r="AA2429" s="4"/>
      <c r="AB2429" s="5"/>
    </row>
    <row r="2430" spans="1:28" x14ac:dyDescent="0.35">
      <c r="A2430" s="3"/>
      <c r="B2430" s="4"/>
      <c r="C2430" s="4"/>
      <c r="D2430" s="4"/>
      <c r="E2430" s="4"/>
      <c r="F2430" s="4"/>
      <c r="G2430" s="4"/>
      <c r="H2430" s="4"/>
      <c r="I2430" s="4"/>
      <c r="J2430" s="4"/>
      <c r="K2430" s="4"/>
      <c r="L2430" s="4"/>
      <c r="M2430" s="4"/>
      <c r="N2430" s="4"/>
      <c r="O2430" s="4"/>
      <c r="P2430" s="4"/>
      <c r="Q2430" s="4"/>
      <c r="R2430" s="4"/>
      <c r="S2430" s="4"/>
      <c r="T2430" s="4"/>
      <c r="U2430" s="4"/>
      <c r="V2430" s="4"/>
      <c r="W2430" s="4"/>
      <c r="X2430" s="4"/>
      <c r="Y2430" s="4"/>
      <c r="Z2430" s="4"/>
      <c r="AA2430" s="4"/>
      <c r="AB2430" s="5"/>
    </row>
    <row r="2431" spans="1:28" x14ac:dyDescent="0.35">
      <c r="A2431" s="3"/>
      <c r="B2431" s="4"/>
      <c r="C2431" s="4"/>
      <c r="D2431" s="4"/>
      <c r="E2431" s="4"/>
      <c r="F2431" s="4"/>
      <c r="G2431" s="4"/>
      <c r="H2431" s="4"/>
      <c r="I2431" s="4"/>
      <c r="J2431" s="4"/>
      <c r="K2431" s="4"/>
      <c r="L2431" s="4"/>
      <c r="M2431" s="4"/>
      <c r="N2431" s="4"/>
      <c r="O2431" s="4"/>
      <c r="P2431" s="4"/>
      <c r="Q2431" s="4"/>
      <c r="R2431" s="4"/>
      <c r="S2431" s="4"/>
      <c r="T2431" s="4"/>
      <c r="U2431" s="4"/>
      <c r="V2431" s="4"/>
      <c r="W2431" s="4"/>
      <c r="X2431" s="4"/>
      <c r="Y2431" s="4"/>
      <c r="Z2431" s="4"/>
      <c r="AA2431" s="4"/>
      <c r="AB2431" s="5"/>
    </row>
    <row r="2432" spans="1:28" x14ac:dyDescent="0.35">
      <c r="A2432" s="3"/>
      <c r="B2432" s="4"/>
      <c r="C2432" s="4"/>
      <c r="D2432" s="4"/>
      <c r="E2432" s="4"/>
      <c r="F2432" s="4"/>
      <c r="G2432" s="4"/>
      <c r="H2432" s="4"/>
      <c r="I2432" s="4"/>
      <c r="J2432" s="4"/>
      <c r="K2432" s="4"/>
      <c r="L2432" s="4"/>
      <c r="M2432" s="4"/>
      <c r="N2432" s="4"/>
      <c r="O2432" s="4"/>
      <c r="P2432" s="4"/>
      <c r="Q2432" s="4"/>
      <c r="R2432" s="4"/>
      <c r="S2432" s="4"/>
      <c r="T2432" s="4"/>
      <c r="U2432" s="4"/>
      <c r="V2432" s="4"/>
      <c r="W2432" s="4"/>
      <c r="X2432" s="4"/>
      <c r="Y2432" s="4"/>
      <c r="Z2432" s="4"/>
      <c r="AA2432" s="4"/>
      <c r="AB2432" s="5"/>
    </row>
    <row r="2433" spans="1:28" x14ac:dyDescent="0.35">
      <c r="A2433" s="3"/>
      <c r="B2433" s="4"/>
      <c r="C2433" s="4"/>
      <c r="D2433" s="4"/>
      <c r="E2433" s="4"/>
      <c r="F2433" s="4"/>
      <c r="G2433" s="4"/>
      <c r="H2433" s="4"/>
      <c r="I2433" s="4"/>
      <c r="J2433" s="4"/>
      <c r="K2433" s="4"/>
      <c r="L2433" s="4"/>
      <c r="M2433" s="4"/>
      <c r="N2433" s="4"/>
      <c r="O2433" s="4"/>
      <c r="P2433" s="4"/>
      <c r="Q2433" s="4"/>
      <c r="R2433" s="4"/>
      <c r="S2433" s="4"/>
      <c r="T2433" s="4"/>
      <c r="U2433" s="4"/>
      <c r="V2433" s="4"/>
      <c r="W2433" s="4"/>
      <c r="X2433" s="4"/>
      <c r="Y2433" s="4"/>
      <c r="Z2433" s="4"/>
      <c r="AA2433" s="4"/>
      <c r="AB2433" s="5"/>
    </row>
    <row r="2434" spans="1:28" x14ac:dyDescent="0.35">
      <c r="A2434" s="3"/>
      <c r="B2434" s="4"/>
      <c r="C2434" s="4"/>
      <c r="D2434" s="4"/>
      <c r="E2434" s="4"/>
      <c r="F2434" s="4"/>
      <c r="G2434" s="4"/>
      <c r="H2434" s="4"/>
      <c r="I2434" s="4"/>
      <c r="J2434" s="4"/>
      <c r="K2434" s="4"/>
      <c r="L2434" s="4"/>
      <c r="M2434" s="4"/>
      <c r="N2434" s="4"/>
      <c r="O2434" s="4"/>
      <c r="P2434" s="4"/>
      <c r="Q2434" s="4"/>
      <c r="R2434" s="4"/>
      <c r="S2434" s="4"/>
      <c r="T2434" s="4"/>
      <c r="U2434" s="4"/>
      <c r="V2434" s="4"/>
      <c r="W2434" s="4"/>
      <c r="X2434" s="4"/>
      <c r="Y2434" s="4"/>
      <c r="Z2434" s="4"/>
      <c r="AA2434" s="4"/>
      <c r="AB2434" s="5"/>
    </row>
    <row r="2435" spans="1:28" x14ac:dyDescent="0.35">
      <c r="A2435" s="3"/>
      <c r="B2435" s="4"/>
      <c r="C2435" s="4"/>
      <c r="D2435" s="4"/>
      <c r="E2435" s="4"/>
      <c r="F2435" s="4"/>
      <c r="G2435" s="4"/>
      <c r="H2435" s="4"/>
      <c r="I2435" s="4"/>
      <c r="J2435" s="4"/>
      <c r="K2435" s="4"/>
      <c r="L2435" s="4"/>
      <c r="M2435" s="4"/>
      <c r="N2435" s="4"/>
      <c r="O2435" s="4"/>
      <c r="P2435" s="4"/>
      <c r="Q2435" s="4"/>
      <c r="R2435" s="4"/>
      <c r="S2435" s="4"/>
      <c r="T2435" s="4"/>
      <c r="U2435" s="4"/>
      <c r="V2435" s="4"/>
      <c r="W2435" s="4"/>
      <c r="X2435" s="4"/>
      <c r="Y2435" s="4"/>
      <c r="Z2435" s="4"/>
      <c r="AA2435" s="4"/>
      <c r="AB2435" s="5"/>
    </row>
    <row r="2436" spans="1:28" x14ac:dyDescent="0.35">
      <c r="A2436" s="3"/>
      <c r="B2436" s="4"/>
      <c r="C2436" s="4"/>
      <c r="D2436" s="4"/>
      <c r="E2436" s="4"/>
      <c r="F2436" s="4"/>
      <c r="G2436" s="4"/>
      <c r="H2436" s="4"/>
      <c r="I2436" s="4"/>
      <c r="J2436" s="4"/>
      <c r="K2436" s="4"/>
      <c r="L2436" s="4"/>
      <c r="M2436" s="4"/>
      <c r="N2436" s="4"/>
      <c r="O2436" s="4"/>
      <c r="P2436" s="4"/>
      <c r="Q2436" s="4"/>
      <c r="R2436" s="4"/>
      <c r="S2436" s="4"/>
      <c r="T2436" s="4"/>
      <c r="U2436" s="4"/>
      <c r="V2436" s="4"/>
      <c r="W2436" s="4"/>
      <c r="X2436" s="4"/>
      <c r="Y2436" s="4"/>
      <c r="Z2436" s="4"/>
      <c r="AA2436" s="4"/>
      <c r="AB2436" s="5"/>
    </row>
    <row r="2437" spans="1:28" x14ac:dyDescent="0.35">
      <c r="A2437" s="3"/>
      <c r="B2437" s="4"/>
      <c r="C2437" s="4"/>
      <c r="D2437" s="4"/>
      <c r="E2437" s="4"/>
      <c r="F2437" s="4"/>
      <c r="G2437" s="4"/>
      <c r="H2437" s="4"/>
      <c r="I2437" s="4"/>
      <c r="J2437" s="4"/>
      <c r="K2437" s="4"/>
      <c r="L2437" s="4"/>
      <c r="M2437" s="4"/>
      <c r="N2437" s="4"/>
      <c r="O2437" s="4"/>
      <c r="P2437" s="4"/>
      <c r="Q2437" s="4"/>
      <c r="R2437" s="4"/>
      <c r="S2437" s="4"/>
      <c r="T2437" s="4"/>
      <c r="U2437" s="4"/>
      <c r="V2437" s="4"/>
      <c r="W2437" s="4"/>
      <c r="X2437" s="4"/>
      <c r="Y2437" s="4"/>
      <c r="Z2437" s="4"/>
      <c r="AA2437" s="4"/>
      <c r="AB2437" s="5"/>
    </row>
    <row r="2438" spans="1:28" x14ac:dyDescent="0.35">
      <c r="A2438" s="3"/>
      <c r="B2438" s="4"/>
      <c r="C2438" s="4"/>
      <c r="D2438" s="4"/>
      <c r="E2438" s="4"/>
      <c r="F2438" s="4"/>
      <c r="G2438" s="4"/>
      <c r="H2438" s="4"/>
      <c r="I2438" s="4"/>
      <c r="J2438" s="4"/>
      <c r="K2438" s="4"/>
      <c r="L2438" s="4"/>
      <c r="M2438" s="4"/>
      <c r="N2438" s="4"/>
      <c r="O2438" s="4"/>
      <c r="P2438" s="4"/>
      <c r="Q2438" s="4"/>
      <c r="R2438" s="4"/>
      <c r="S2438" s="4"/>
      <c r="T2438" s="4"/>
      <c r="U2438" s="4"/>
      <c r="V2438" s="4"/>
      <c r="W2438" s="4"/>
      <c r="X2438" s="4"/>
      <c r="Y2438" s="4"/>
      <c r="Z2438" s="4"/>
      <c r="AA2438" s="4"/>
      <c r="AB2438" s="5"/>
    </row>
    <row r="2439" spans="1:28" x14ac:dyDescent="0.35">
      <c r="A2439" s="3"/>
      <c r="B2439" s="4"/>
      <c r="C2439" s="4"/>
      <c r="D2439" s="4"/>
      <c r="E2439" s="4"/>
      <c r="F2439" s="4"/>
      <c r="G2439" s="4"/>
      <c r="H2439" s="4"/>
      <c r="I2439" s="4"/>
      <c r="J2439" s="4"/>
      <c r="K2439" s="4"/>
      <c r="L2439" s="4"/>
      <c r="M2439" s="4"/>
      <c r="N2439" s="4"/>
      <c r="O2439" s="4"/>
      <c r="P2439" s="4"/>
      <c r="Q2439" s="4"/>
      <c r="R2439" s="4"/>
      <c r="S2439" s="4"/>
      <c r="T2439" s="4"/>
      <c r="U2439" s="4"/>
      <c r="V2439" s="4"/>
      <c r="W2439" s="4"/>
      <c r="X2439" s="4"/>
      <c r="Y2439" s="4"/>
      <c r="Z2439" s="4"/>
      <c r="AA2439" s="4"/>
      <c r="AB2439" s="5"/>
    </row>
    <row r="2440" spans="1:28" x14ac:dyDescent="0.35">
      <c r="A2440" s="3"/>
      <c r="B2440" s="4"/>
      <c r="C2440" s="4"/>
      <c r="D2440" s="4"/>
      <c r="E2440" s="4"/>
      <c r="F2440" s="4"/>
      <c r="G2440" s="4"/>
      <c r="H2440" s="4"/>
      <c r="I2440" s="4"/>
      <c r="J2440" s="4"/>
      <c r="K2440" s="4"/>
      <c r="L2440" s="4"/>
      <c r="M2440" s="4"/>
      <c r="N2440" s="4"/>
      <c r="O2440" s="4"/>
      <c r="P2440" s="4"/>
      <c r="Q2440" s="4"/>
      <c r="R2440" s="4"/>
      <c r="S2440" s="4"/>
      <c r="T2440" s="4"/>
      <c r="U2440" s="4"/>
      <c r="V2440" s="4"/>
      <c r="W2440" s="4"/>
      <c r="X2440" s="4"/>
      <c r="Y2440" s="4"/>
      <c r="Z2440" s="4"/>
      <c r="AA2440" s="4"/>
      <c r="AB2440" s="5"/>
    </row>
    <row r="2441" spans="1:28" x14ac:dyDescent="0.35">
      <c r="A2441" s="3"/>
      <c r="B2441" s="4"/>
      <c r="C2441" s="4"/>
      <c r="D2441" s="4"/>
      <c r="E2441" s="4"/>
      <c r="F2441" s="4"/>
      <c r="G2441" s="4"/>
      <c r="H2441" s="4"/>
      <c r="I2441" s="4"/>
      <c r="J2441" s="4"/>
      <c r="K2441" s="4"/>
      <c r="L2441" s="4"/>
      <c r="M2441" s="4"/>
      <c r="N2441" s="4"/>
      <c r="O2441" s="4"/>
      <c r="P2441" s="4"/>
      <c r="Q2441" s="4"/>
      <c r="R2441" s="4"/>
      <c r="S2441" s="4"/>
      <c r="T2441" s="4"/>
      <c r="U2441" s="4"/>
      <c r="V2441" s="4"/>
      <c r="W2441" s="4"/>
      <c r="X2441" s="4"/>
      <c r="Y2441" s="4"/>
      <c r="Z2441" s="4"/>
      <c r="AA2441" s="4"/>
      <c r="AB2441" s="5"/>
    </row>
    <row r="2442" spans="1:28" x14ac:dyDescent="0.35">
      <c r="A2442" s="3"/>
      <c r="B2442" s="4"/>
      <c r="C2442" s="4"/>
      <c r="D2442" s="4"/>
      <c r="E2442" s="4"/>
      <c r="F2442" s="4"/>
      <c r="G2442" s="4"/>
      <c r="H2442" s="4"/>
      <c r="I2442" s="4"/>
      <c r="J2442" s="4"/>
      <c r="K2442" s="4"/>
      <c r="L2442" s="4"/>
      <c r="M2442" s="4"/>
      <c r="N2442" s="4"/>
      <c r="O2442" s="4"/>
      <c r="P2442" s="4"/>
      <c r="Q2442" s="4"/>
      <c r="R2442" s="4"/>
      <c r="S2442" s="4"/>
      <c r="T2442" s="4"/>
      <c r="U2442" s="4"/>
      <c r="V2442" s="4"/>
      <c r="W2442" s="4"/>
      <c r="X2442" s="4"/>
      <c r="Y2442" s="4"/>
      <c r="Z2442" s="4"/>
      <c r="AA2442" s="4"/>
      <c r="AB2442" s="5"/>
    </row>
    <row r="2443" spans="1:28" x14ac:dyDescent="0.35">
      <c r="A2443" s="3"/>
      <c r="B2443" s="4"/>
      <c r="C2443" s="4"/>
      <c r="D2443" s="4"/>
      <c r="E2443" s="4"/>
      <c r="F2443" s="4"/>
      <c r="G2443" s="4"/>
      <c r="H2443" s="4"/>
      <c r="I2443" s="4"/>
      <c r="J2443" s="4"/>
      <c r="K2443" s="4"/>
      <c r="L2443" s="4"/>
      <c r="M2443" s="4"/>
      <c r="N2443" s="4"/>
      <c r="O2443" s="4"/>
      <c r="P2443" s="4"/>
      <c r="Q2443" s="4"/>
      <c r="R2443" s="4"/>
      <c r="S2443" s="4"/>
      <c r="T2443" s="4"/>
      <c r="U2443" s="4"/>
      <c r="V2443" s="4"/>
      <c r="W2443" s="4"/>
      <c r="X2443" s="4"/>
      <c r="Y2443" s="4"/>
      <c r="Z2443" s="4"/>
      <c r="AA2443" s="4"/>
      <c r="AB2443" s="5"/>
    </row>
    <row r="2444" spans="1:28" x14ac:dyDescent="0.35">
      <c r="A2444" s="3"/>
      <c r="B2444" s="4"/>
      <c r="C2444" s="4"/>
      <c r="D2444" s="4"/>
      <c r="E2444" s="4"/>
      <c r="F2444" s="4"/>
      <c r="G2444" s="4"/>
      <c r="H2444" s="4"/>
      <c r="I2444" s="4"/>
      <c r="J2444" s="4"/>
      <c r="K2444" s="4"/>
      <c r="L2444" s="4"/>
      <c r="M2444" s="4"/>
      <c r="N2444" s="4"/>
      <c r="O2444" s="4"/>
      <c r="P2444" s="4"/>
      <c r="Q2444" s="4"/>
      <c r="R2444" s="4"/>
      <c r="S2444" s="4"/>
      <c r="T2444" s="4"/>
      <c r="U2444" s="4"/>
      <c r="V2444" s="4"/>
      <c r="W2444" s="4"/>
      <c r="X2444" s="4"/>
      <c r="Y2444" s="4"/>
      <c r="Z2444" s="4"/>
      <c r="AA2444" s="4"/>
      <c r="AB2444" s="5"/>
    </row>
    <row r="2445" spans="1:28" x14ac:dyDescent="0.35">
      <c r="A2445" s="3"/>
      <c r="B2445" s="4"/>
      <c r="C2445" s="4"/>
      <c r="D2445" s="4"/>
      <c r="E2445" s="4"/>
      <c r="F2445" s="4"/>
      <c r="G2445" s="4"/>
      <c r="H2445" s="4"/>
      <c r="I2445" s="4"/>
      <c r="J2445" s="4"/>
      <c r="K2445" s="4"/>
      <c r="L2445" s="4"/>
      <c r="M2445" s="4"/>
      <c r="N2445" s="4"/>
      <c r="O2445" s="4"/>
      <c r="P2445" s="4"/>
      <c r="Q2445" s="4"/>
      <c r="R2445" s="4"/>
      <c r="S2445" s="4"/>
      <c r="T2445" s="4"/>
      <c r="U2445" s="4"/>
      <c r="V2445" s="4"/>
      <c r="W2445" s="4"/>
      <c r="X2445" s="4"/>
      <c r="Y2445" s="4"/>
      <c r="Z2445" s="4"/>
      <c r="AA2445" s="4"/>
      <c r="AB2445" s="5"/>
    </row>
    <row r="2446" spans="1:28" x14ac:dyDescent="0.35">
      <c r="A2446" s="3"/>
      <c r="B2446" s="4"/>
      <c r="C2446" s="4"/>
      <c r="D2446" s="4"/>
      <c r="E2446" s="4"/>
      <c r="F2446" s="4"/>
      <c r="G2446" s="4"/>
      <c r="H2446" s="4"/>
      <c r="I2446" s="4"/>
      <c r="J2446" s="4"/>
      <c r="K2446" s="4"/>
      <c r="L2446" s="4"/>
      <c r="M2446" s="4"/>
      <c r="N2446" s="4"/>
      <c r="O2446" s="4"/>
      <c r="P2446" s="4"/>
      <c r="Q2446" s="4"/>
      <c r="R2446" s="4"/>
      <c r="S2446" s="4"/>
      <c r="T2446" s="4"/>
      <c r="U2446" s="4"/>
      <c r="V2446" s="4"/>
      <c r="W2446" s="4"/>
      <c r="X2446" s="4"/>
      <c r="Y2446" s="4"/>
      <c r="Z2446" s="4"/>
      <c r="AA2446" s="4"/>
      <c r="AB2446" s="5"/>
    </row>
    <row r="2447" spans="1:28" x14ac:dyDescent="0.35">
      <c r="A2447" s="3"/>
      <c r="B2447" s="4"/>
      <c r="C2447" s="4"/>
      <c r="D2447" s="4"/>
      <c r="E2447" s="4"/>
      <c r="F2447" s="4"/>
      <c r="G2447" s="4"/>
      <c r="H2447" s="4"/>
      <c r="I2447" s="4"/>
      <c r="J2447" s="4"/>
      <c r="K2447" s="4"/>
      <c r="L2447" s="4"/>
      <c r="M2447" s="4"/>
      <c r="N2447" s="4"/>
      <c r="O2447" s="4"/>
      <c r="P2447" s="4"/>
      <c r="Q2447" s="4"/>
      <c r="R2447" s="4"/>
      <c r="S2447" s="4"/>
      <c r="T2447" s="4"/>
      <c r="U2447" s="4"/>
      <c r="V2447" s="4"/>
      <c r="W2447" s="4"/>
      <c r="X2447" s="4"/>
      <c r="Y2447" s="4"/>
      <c r="Z2447" s="4"/>
      <c r="AA2447" s="4"/>
      <c r="AB2447" s="5"/>
    </row>
    <row r="2448" spans="1:28" x14ac:dyDescent="0.35">
      <c r="A2448" s="3"/>
      <c r="B2448" s="4"/>
      <c r="C2448" s="4"/>
      <c r="D2448" s="4"/>
      <c r="E2448" s="4"/>
      <c r="F2448" s="4"/>
      <c r="G2448" s="4"/>
      <c r="H2448" s="4"/>
      <c r="I2448" s="4"/>
      <c r="J2448" s="4"/>
      <c r="K2448" s="4"/>
      <c r="L2448" s="4"/>
      <c r="M2448" s="4"/>
      <c r="N2448" s="4"/>
      <c r="O2448" s="4"/>
      <c r="P2448" s="4"/>
      <c r="Q2448" s="4"/>
      <c r="R2448" s="4"/>
      <c r="S2448" s="4"/>
      <c r="T2448" s="4"/>
      <c r="U2448" s="4"/>
      <c r="V2448" s="4"/>
      <c r="W2448" s="4"/>
      <c r="X2448" s="4"/>
      <c r="Y2448" s="4"/>
      <c r="Z2448" s="4"/>
      <c r="AA2448" s="4"/>
      <c r="AB2448" s="5"/>
    </row>
    <row r="2449" spans="1:28" x14ac:dyDescent="0.35">
      <c r="A2449" s="3"/>
      <c r="B2449" s="4"/>
      <c r="C2449" s="4"/>
      <c r="D2449" s="4"/>
      <c r="E2449" s="4"/>
      <c r="F2449" s="4"/>
      <c r="G2449" s="4"/>
      <c r="H2449" s="4"/>
      <c r="I2449" s="4"/>
      <c r="J2449" s="4"/>
      <c r="K2449" s="4"/>
      <c r="L2449" s="4"/>
      <c r="M2449" s="4"/>
      <c r="N2449" s="4"/>
      <c r="O2449" s="4"/>
      <c r="P2449" s="4"/>
      <c r="Q2449" s="4"/>
      <c r="R2449" s="4"/>
      <c r="S2449" s="4"/>
      <c r="T2449" s="4"/>
      <c r="U2449" s="4"/>
      <c r="V2449" s="4"/>
      <c r="W2449" s="4"/>
      <c r="X2449" s="4"/>
      <c r="Y2449" s="4"/>
      <c r="Z2449" s="4"/>
      <c r="AA2449" s="4"/>
      <c r="AB2449" s="5"/>
    </row>
    <row r="2450" spans="1:28" x14ac:dyDescent="0.35">
      <c r="A2450" s="3"/>
      <c r="B2450" s="4"/>
      <c r="C2450" s="4"/>
      <c r="D2450" s="4"/>
      <c r="E2450" s="4"/>
      <c r="F2450" s="4"/>
      <c r="G2450" s="4"/>
      <c r="H2450" s="4"/>
      <c r="I2450" s="4"/>
      <c r="J2450" s="4"/>
      <c r="K2450" s="4"/>
      <c r="L2450" s="4"/>
      <c r="M2450" s="4"/>
      <c r="N2450" s="4"/>
      <c r="O2450" s="4"/>
      <c r="P2450" s="4"/>
      <c r="Q2450" s="4"/>
      <c r="R2450" s="4"/>
      <c r="S2450" s="4"/>
      <c r="T2450" s="4"/>
      <c r="U2450" s="4"/>
      <c r="V2450" s="4"/>
      <c r="W2450" s="4"/>
      <c r="X2450" s="4"/>
      <c r="Y2450" s="4"/>
      <c r="Z2450" s="4"/>
      <c r="AA2450" s="4"/>
      <c r="AB2450" s="5"/>
    </row>
    <row r="2451" spans="1:28" x14ac:dyDescent="0.35">
      <c r="A2451" s="3"/>
      <c r="B2451" s="4"/>
      <c r="C2451" s="4"/>
      <c r="D2451" s="4"/>
      <c r="E2451" s="4"/>
      <c r="F2451" s="4"/>
      <c r="G2451" s="4"/>
      <c r="H2451" s="4"/>
      <c r="I2451" s="4"/>
      <c r="J2451" s="4"/>
      <c r="K2451" s="4"/>
      <c r="L2451" s="4"/>
      <c r="M2451" s="4"/>
      <c r="N2451" s="4"/>
      <c r="O2451" s="4"/>
      <c r="P2451" s="4"/>
      <c r="Q2451" s="4"/>
      <c r="R2451" s="4"/>
      <c r="S2451" s="4"/>
      <c r="T2451" s="4"/>
      <c r="U2451" s="4"/>
      <c r="V2451" s="4"/>
      <c r="W2451" s="4"/>
      <c r="X2451" s="4"/>
      <c r="Y2451" s="4"/>
      <c r="Z2451" s="4"/>
      <c r="AA2451" s="4"/>
      <c r="AB2451" s="5"/>
    </row>
    <row r="2452" spans="1:28" x14ac:dyDescent="0.35">
      <c r="A2452" s="3"/>
      <c r="B2452" s="4"/>
      <c r="C2452" s="4"/>
      <c r="D2452" s="4"/>
      <c r="E2452" s="4"/>
      <c r="F2452" s="4"/>
      <c r="G2452" s="4"/>
      <c r="H2452" s="4"/>
      <c r="I2452" s="4"/>
      <c r="J2452" s="4"/>
      <c r="K2452" s="4"/>
      <c r="L2452" s="4"/>
      <c r="M2452" s="4"/>
      <c r="N2452" s="4"/>
      <c r="O2452" s="4"/>
      <c r="P2452" s="4"/>
      <c r="Q2452" s="4"/>
      <c r="R2452" s="4"/>
      <c r="S2452" s="4"/>
      <c r="T2452" s="4"/>
      <c r="U2452" s="4"/>
      <c r="V2452" s="4"/>
      <c r="W2452" s="4"/>
      <c r="X2452" s="4"/>
      <c r="Y2452" s="4"/>
      <c r="Z2452" s="4"/>
      <c r="AA2452" s="4"/>
      <c r="AB2452" s="5"/>
    </row>
    <row r="2453" spans="1:28" x14ac:dyDescent="0.35">
      <c r="A2453" s="3"/>
      <c r="B2453" s="4"/>
      <c r="C2453" s="4"/>
      <c r="D2453" s="4"/>
      <c r="E2453" s="4"/>
      <c r="F2453" s="4"/>
      <c r="G2453" s="4"/>
      <c r="H2453" s="4"/>
      <c r="I2453" s="4"/>
      <c r="J2453" s="4"/>
      <c r="K2453" s="4"/>
      <c r="L2453" s="4"/>
      <c r="M2453" s="4"/>
      <c r="N2453" s="4"/>
      <c r="O2453" s="4"/>
      <c r="P2453" s="4"/>
      <c r="Q2453" s="4"/>
      <c r="R2453" s="4"/>
      <c r="S2453" s="4"/>
      <c r="T2453" s="4"/>
      <c r="U2453" s="4"/>
      <c r="V2453" s="4"/>
      <c r="W2453" s="4"/>
      <c r="X2453" s="4"/>
      <c r="Y2453" s="4"/>
      <c r="Z2453" s="4"/>
      <c r="AA2453" s="4"/>
      <c r="AB2453" s="5"/>
    </row>
    <row r="2454" spans="1:28" x14ac:dyDescent="0.35">
      <c r="A2454" s="3"/>
      <c r="B2454" s="4"/>
      <c r="C2454" s="4"/>
      <c r="D2454" s="4"/>
      <c r="E2454" s="4"/>
      <c r="F2454" s="4"/>
      <c r="G2454" s="4"/>
      <c r="H2454" s="4"/>
      <c r="I2454" s="4"/>
      <c r="J2454" s="4"/>
      <c r="K2454" s="4"/>
      <c r="L2454" s="4"/>
      <c r="M2454" s="4"/>
      <c r="N2454" s="4"/>
      <c r="O2454" s="4"/>
      <c r="P2454" s="4"/>
      <c r="Q2454" s="4"/>
      <c r="R2454" s="4"/>
      <c r="S2454" s="4"/>
      <c r="T2454" s="4"/>
      <c r="U2454" s="4"/>
      <c r="V2454" s="4"/>
      <c r="W2454" s="4"/>
      <c r="X2454" s="4"/>
      <c r="Y2454" s="4"/>
      <c r="Z2454" s="4"/>
      <c r="AA2454" s="4"/>
      <c r="AB2454" s="5"/>
    </row>
    <row r="2455" spans="1:28" x14ac:dyDescent="0.35">
      <c r="A2455" s="3"/>
      <c r="B2455" s="4"/>
      <c r="C2455" s="4"/>
      <c r="D2455" s="4"/>
      <c r="E2455" s="4"/>
      <c r="F2455" s="4"/>
      <c r="G2455" s="4"/>
      <c r="H2455" s="4"/>
      <c r="I2455" s="4"/>
      <c r="J2455" s="4"/>
      <c r="K2455" s="4"/>
      <c r="L2455" s="4"/>
      <c r="M2455" s="4"/>
      <c r="N2455" s="4"/>
      <c r="O2455" s="4"/>
      <c r="P2455" s="4"/>
      <c r="Q2455" s="4"/>
      <c r="R2455" s="4"/>
      <c r="S2455" s="4"/>
      <c r="T2455" s="4"/>
      <c r="U2455" s="4"/>
      <c r="V2455" s="4"/>
      <c r="W2455" s="4"/>
      <c r="X2455" s="4"/>
      <c r="Y2455" s="4"/>
      <c r="Z2455" s="4"/>
      <c r="AA2455" s="4"/>
      <c r="AB2455" s="5"/>
    </row>
    <row r="2456" spans="1:28" x14ac:dyDescent="0.35">
      <c r="A2456" s="3"/>
      <c r="B2456" s="4"/>
      <c r="C2456" s="4"/>
      <c r="D2456" s="4"/>
      <c r="E2456" s="4"/>
      <c r="F2456" s="4"/>
      <c r="G2456" s="4"/>
      <c r="H2456" s="4"/>
      <c r="I2456" s="4"/>
      <c r="J2456" s="4"/>
      <c r="K2456" s="4"/>
      <c r="L2456" s="4"/>
      <c r="M2456" s="4"/>
      <c r="N2456" s="4"/>
      <c r="O2456" s="4"/>
      <c r="P2456" s="4"/>
      <c r="Q2456" s="4"/>
      <c r="R2456" s="4"/>
      <c r="S2456" s="4"/>
      <c r="T2456" s="4"/>
      <c r="U2456" s="4"/>
      <c r="V2456" s="4"/>
      <c r="W2456" s="4"/>
      <c r="X2456" s="4"/>
      <c r="Y2456" s="4"/>
      <c r="Z2456" s="4"/>
      <c r="AA2456" s="4"/>
      <c r="AB2456" s="5"/>
    </row>
    <row r="2457" spans="1:28" x14ac:dyDescent="0.35">
      <c r="A2457" s="3"/>
      <c r="B2457" s="4"/>
      <c r="C2457" s="4"/>
      <c r="D2457" s="4"/>
      <c r="E2457" s="4"/>
      <c r="F2457" s="4"/>
      <c r="G2457" s="4"/>
      <c r="H2457" s="4"/>
      <c r="I2457" s="4"/>
      <c r="J2457" s="4"/>
      <c r="K2457" s="4"/>
      <c r="L2457" s="4"/>
      <c r="M2457" s="4"/>
      <c r="N2457" s="4"/>
      <c r="O2457" s="4"/>
      <c r="P2457" s="4"/>
      <c r="Q2457" s="4"/>
      <c r="R2457" s="4"/>
      <c r="S2457" s="4"/>
      <c r="T2457" s="4"/>
      <c r="U2457" s="4"/>
      <c r="V2457" s="4"/>
      <c r="W2457" s="4"/>
      <c r="X2457" s="4"/>
      <c r="Y2457" s="4"/>
      <c r="Z2457" s="4"/>
      <c r="AA2457" s="4"/>
      <c r="AB2457" s="5"/>
    </row>
    <row r="2458" spans="1:28" x14ac:dyDescent="0.35">
      <c r="A2458" s="3"/>
      <c r="B2458" s="4"/>
      <c r="C2458" s="4"/>
      <c r="D2458" s="4"/>
      <c r="E2458" s="4"/>
      <c r="F2458" s="4"/>
      <c r="G2458" s="4"/>
      <c r="H2458" s="4"/>
      <c r="I2458" s="4"/>
      <c r="J2458" s="4"/>
      <c r="K2458" s="4"/>
      <c r="L2458" s="4"/>
      <c r="M2458" s="4"/>
      <c r="N2458" s="4"/>
      <c r="O2458" s="4"/>
      <c r="P2458" s="4"/>
      <c r="Q2458" s="4"/>
      <c r="R2458" s="4"/>
      <c r="S2458" s="4"/>
      <c r="T2458" s="4"/>
      <c r="U2458" s="4"/>
      <c r="V2458" s="4"/>
      <c r="W2458" s="4"/>
      <c r="X2458" s="4"/>
      <c r="Y2458" s="4"/>
      <c r="Z2458" s="4"/>
      <c r="AA2458" s="4"/>
      <c r="AB2458" s="5"/>
    </row>
    <row r="2459" spans="1:28" x14ac:dyDescent="0.35">
      <c r="A2459" s="3"/>
      <c r="B2459" s="4"/>
      <c r="C2459" s="4"/>
      <c r="D2459" s="4"/>
      <c r="E2459" s="4"/>
      <c r="F2459" s="4"/>
      <c r="G2459" s="4"/>
      <c r="H2459" s="4"/>
      <c r="I2459" s="4"/>
      <c r="J2459" s="4"/>
      <c r="K2459" s="4"/>
      <c r="L2459" s="4"/>
      <c r="M2459" s="4"/>
      <c r="N2459" s="4"/>
      <c r="O2459" s="4"/>
      <c r="P2459" s="4"/>
      <c r="Q2459" s="4"/>
      <c r="R2459" s="4"/>
      <c r="S2459" s="4"/>
      <c r="T2459" s="4"/>
      <c r="U2459" s="4"/>
      <c r="V2459" s="4"/>
      <c r="W2459" s="4"/>
      <c r="X2459" s="4"/>
      <c r="Y2459" s="4"/>
      <c r="Z2459" s="4"/>
      <c r="AA2459" s="4"/>
      <c r="AB2459" s="5"/>
    </row>
    <row r="2460" spans="1:28" x14ac:dyDescent="0.35">
      <c r="A2460" s="3"/>
      <c r="B2460" s="4"/>
      <c r="C2460" s="4"/>
      <c r="D2460" s="4"/>
      <c r="E2460" s="4"/>
      <c r="F2460" s="4"/>
      <c r="G2460" s="4"/>
      <c r="H2460" s="4"/>
      <c r="I2460" s="4"/>
      <c r="J2460" s="4"/>
      <c r="K2460" s="4"/>
      <c r="L2460" s="4"/>
      <c r="M2460" s="4"/>
      <c r="N2460" s="4"/>
      <c r="O2460" s="4"/>
      <c r="P2460" s="4"/>
      <c r="Q2460" s="4"/>
      <c r="R2460" s="4"/>
      <c r="S2460" s="4"/>
      <c r="T2460" s="4"/>
      <c r="U2460" s="4"/>
      <c r="V2460" s="4"/>
      <c r="W2460" s="4"/>
      <c r="X2460" s="4"/>
      <c r="Y2460" s="4"/>
      <c r="Z2460" s="4"/>
      <c r="AA2460" s="4"/>
      <c r="AB2460" s="5"/>
    </row>
    <row r="2461" spans="1:28" x14ac:dyDescent="0.35">
      <c r="A2461" s="3"/>
      <c r="B2461" s="4"/>
      <c r="C2461" s="4"/>
      <c r="D2461" s="4"/>
      <c r="E2461" s="4"/>
      <c r="F2461" s="4"/>
      <c r="G2461" s="4"/>
      <c r="H2461" s="4"/>
      <c r="I2461" s="4"/>
      <c r="J2461" s="4"/>
      <c r="K2461" s="4"/>
      <c r="L2461" s="4"/>
      <c r="M2461" s="4"/>
      <c r="N2461" s="4"/>
      <c r="O2461" s="4"/>
      <c r="P2461" s="4"/>
      <c r="Q2461" s="4"/>
      <c r="R2461" s="4"/>
      <c r="S2461" s="4"/>
      <c r="T2461" s="4"/>
      <c r="U2461" s="4"/>
      <c r="V2461" s="4"/>
      <c r="W2461" s="4"/>
      <c r="X2461" s="4"/>
      <c r="Y2461" s="4"/>
      <c r="Z2461" s="4"/>
      <c r="AA2461" s="4"/>
      <c r="AB2461" s="5"/>
    </row>
    <row r="2462" spans="1:28" x14ac:dyDescent="0.35">
      <c r="A2462" s="3"/>
      <c r="B2462" s="4"/>
      <c r="C2462" s="4"/>
      <c r="D2462" s="4"/>
      <c r="E2462" s="4"/>
      <c r="F2462" s="4"/>
      <c r="G2462" s="4"/>
      <c r="H2462" s="4"/>
      <c r="I2462" s="4"/>
      <c r="J2462" s="4"/>
      <c r="K2462" s="4"/>
      <c r="L2462" s="4"/>
      <c r="M2462" s="4"/>
      <c r="N2462" s="4"/>
      <c r="O2462" s="4"/>
      <c r="P2462" s="4"/>
      <c r="Q2462" s="4"/>
      <c r="R2462" s="4"/>
      <c r="S2462" s="4"/>
      <c r="T2462" s="4"/>
      <c r="U2462" s="4"/>
      <c r="V2462" s="4"/>
      <c r="W2462" s="4"/>
      <c r="X2462" s="4"/>
      <c r="Y2462" s="4"/>
      <c r="Z2462" s="4"/>
      <c r="AA2462" s="4"/>
      <c r="AB2462" s="5"/>
    </row>
    <row r="2463" spans="1:28" x14ac:dyDescent="0.35">
      <c r="A2463" s="3"/>
      <c r="B2463" s="4"/>
      <c r="C2463" s="4"/>
      <c r="D2463" s="4"/>
      <c r="E2463" s="4"/>
      <c r="F2463" s="4"/>
      <c r="G2463" s="4"/>
      <c r="H2463" s="4"/>
      <c r="I2463" s="4"/>
      <c r="J2463" s="4"/>
      <c r="K2463" s="4"/>
      <c r="L2463" s="4"/>
      <c r="M2463" s="4"/>
      <c r="N2463" s="4"/>
      <c r="O2463" s="4"/>
      <c r="P2463" s="4"/>
      <c r="Q2463" s="4"/>
      <c r="R2463" s="4"/>
      <c r="S2463" s="4"/>
      <c r="T2463" s="4"/>
      <c r="U2463" s="4"/>
      <c r="V2463" s="4"/>
      <c r="W2463" s="4"/>
      <c r="X2463" s="4"/>
      <c r="Y2463" s="4"/>
      <c r="Z2463" s="4"/>
      <c r="AA2463" s="4"/>
      <c r="AB2463" s="5"/>
    </row>
    <row r="2464" spans="1:28" x14ac:dyDescent="0.35">
      <c r="A2464" s="3"/>
      <c r="B2464" s="4"/>
      <c r="C2464" s="4"/>
      <c r="D2464" s="4"/>
      <c r="E2464" s="4"/>
      <c r="F2464" s="4"/>
      <c r="G2464" s="4"/>
      <c r="H2464" s="4"/>
      <c r="I2464" s="4"/>
      <c r="J2464" s="4"/>
      <c r="K2464" s="4"/>
      <c r="L2464" s="4"/>
      <c r="M2464" s="4"/>
      <c r="N2464" s="4"/>
      <c r="O2464" s="4"/>
      <c r="P2464" s="4"/>
      <c r="Q2464" s="4"/>
      <c r="R2464" s="4"/>
      <c r="S2464" s="4"/>
      <c r="T2464" s="4"/>
      <c r="U2464" s="4"/>
      <c r="V2464" s="4"/>
      <c r="W2464" s="4"/>
      <c r="X2464" s="4"/>
      <c r="Y2464" s="4"/>
      <c r="Z2464" s="4"/>
      <c r="AA2464" s="4"/>
      <c r="AB2464" s="5"/>
    </row>
    <row r="2465" spans="1:28" x14ac:dyDescent="0.35">
      <c r="A2465" s="3"/>
      <c r="B2465" s="4"/>
      <c r="C2465" s="4"/>
      <c r="D2465" s="4"/>
      <c r="E2465" s="4"/>
      <c r="F2465" s="4"/>
      <c r="G2465" s="4"/>
      <c r="H2465" s="4"/>
      <c r="I2465" s="4"/>
      <c r="J2465" s="4"/>
      <c r="K2465" s="4"/>
      <c r="L2465" s="4"/>
      <c r="M2465" s="4"/>
      <c r="N2465" s="4"/>
      <c r="O2465" s="4"/>
      <c r="P2465" s="4"/>
      <c r="Q2465" s="4"/>
      <c r="R2465" s="4"/>
      <c r="S2465" s="4"/>
      <c r="T2465" s="4"/>
      <c r="U2465" s="4"/>
      <c r="V2465" s="4"/>
      <c r="W2465" s="4"/>
      <c r="X2465" s="4"/>
      <c r="Y2465" s="4"/>
      <c r="Z2465" s="4"/>
      <c r="AA2465" s="4"/>
      <c r="AB2465" s="5"/>
    </row>
    <row r="2466" spans="1:28" x14ac:dyDescent="0.35">
      <c r="A2466" s="3"/>
      <c r="B2466" s="4"/>
      <c r="C2466" s="4"/>
      <c r="D2466" s="4"/>
      <c r="E2466" s="4"/>
      <c r="F2466" s="4"/>
      <c r="G2466" s="4"/>
      <c r="H2466" s="4"/>
      <c r="I2466" s="4"/>
      <c r="J2466" s="4"/>
      <c r="K2466" s="4"/>
      <c r="L2466" s="4"/>
      <c r="M2466" s="4"/>
      <c r="N2466" s="4"/>
      <c r="O2466" s="4"/>
      <c r="P2466" s="4"/>
      <c r="Q2466" s="4"/>
      <c r="R2466" s="4"/>
      <c r="S2466" s="4"/>
      <c r="T2466" s="4"/>
      <c r="U2466" s="4"/>
      <c r="V2466" s="4"/>
      <c r="W2466" s="4"/>
      <c r="X2466" s="4"/>
      <c r="Y2466" s="4"/>
      <c r="Z2466" s="4"/>
      <c r="AA2466" s="4"/>
      <c r="AB2466" s="5"/>
    </row>
    <row r="2467" spans="1:28" x14ac:dyDescent="0.35">
      <c r="A2467" s="3"/>
      <c r="B2467" s="4"/>
      <c r="C2467" s="4"/>
      <c r="D2467" s="4"/>
      <c r="E2467" s="4"/>
      <c r="F2467" s="4"/>
      <c r="G2467" s="4"/>
      <c r="H2467" s="4"/>
      <c r="I2467" s="4"/>
      <c r="J2467" s="4"/>
      <c r="K2467" s="4"/>
      <c r="L2467" s="4"/>
      <c r="M2467" s="4"/>
      <c r="N2467" s="4"/>
      <c r="O2467" s="4"/>
      <c r="P2467" s="4"/>
      <c r="Q2467" s="4"/>
      <c r="R2467" s="4"/>
      <c r="S2467" s="4"/>
      <c r="T2467" s="4"/>
      <c r="U2467" s="4"/>
      <c r="V2467" s="4"/>
      <c r="W2467" s="4"/>
      <c r="X2467" s="4"/>
      <c r="Y2467" s="4"/>
      <c r="Z2467" s="4"/>
      <c r="AA2467" s="4"/>
      <c r="AB2467" s="5"/>
    </row>
    <row r="2468" spans="1:28" x14ac:dyDescent="0.35">
      <c r="A2468" s="3"/>
      <c r="B2468" s="4"/>
      <c r="C2468" s="4"/>
      <c r="D2468" s="4"/>
      <c r="E2468" s="4"/>
      <c r="F2468" s="4"/>
      <c r="G2468" s="4"/>
      <c r="H2468" s="4"/>
      <c r="I2468" s="4"/>
      <c r="J2468" s="4"/>
      <c r="K2468" s="4"/>
      <c r="L2468" s="4"/>
      <c r="M2468" s="4"/>
      <c r="N2468" s="4"/>
      <c r="O2468" s="4"/>
      <c r="P2468" s="4"/>
      <c r="Q2468" s="4"/>
      <c r="R2468" s="4"/>
      <c r="S2468" s="4"/>
      <c r="T2468" s="4"/>
      <c r="U2468" s="4"/>
      <c r="V2468" s="4"/>
      <c r="W2468" s="4"/>
      <c r="X2468" s="4"/>
      <c r="Y2468" s="4"/>
      <c r="Z2468" s="4"/>
      <c r="AA2468" s="4"/>
      <c r="AB2468" s="5"/>
    </row>
    <row r="2469" spans="1:28" x14ac:dyDescent="0.35">
      <c r="A2469" s="3"/>
      <c r="B2469" s="4"/>
      <c r="C2469" s="4"/>
      <c r="D2469" s="4"/>
      <c r="E2469" s="4"/>
      <c r="F2469" s="4"/>
      <c r="G2469" s="4"/>
      <c r="H2469" s="4"/>
      <c r="I2469" s="4"/>
      <c r="J2469" s="4"/>
      <c r="K2469" s="4"/>
      <c r="L2469" s="4"/>
      <c r="M2469" s="4"/>
      <c r="N2469" s="4"/>
      <c r="O2469" s="4"/>
      <c r="P2469" s="4"/>
      <c r="Q2469" s="4"/>
      <c r="R2469" s="4"/>
      <c r="S2469" s="4"/>
      <c r="T2469" s="4"/>
      <c r="U2469" s="4"/>
      <c r="V2469" s="4"/>
      <c r="W2469" s="4"/>
      <c r="X2469" s="4"/>
      <c r="Y2469" s="4"/>
      <c r="Z2469" s="4"/>
      <c r="AA2469" s="4"/>
      <c r="AB2469" s="5"/>
    </row>
    <row r="2470" spans="1:28" x14ac:dyDescent="0.35">
      <c r="A2470" s="3"/>
      <c r="B2470" s="4"/>
      <c r="C2470" s="4"/>
      <c r="D2470" s="4"/>
      <c r="E2470" s="4"/>
      <c r="F2470" s="4"/>
      <c r="G2470" s="4"/>
      <c r="H2470" s="4"/>
      <c r="I2470" s="4"/>
      <c r="J2470" s="4"/>
      <c r="K2470" s="4"/>
      <c r="L2470" s="4"/>
      <c r="M2470" s="4"/>
      <c r="N2470" s="4"/>
      <c r="O2470" s="4"/>
      <c r="P2470" s="4"/>
      <c r="Q2470" s="4"/>
      <c r="R2470" s="4"/>
      <c r="S2470" s="4"/>
      <c r="T2470" s="4"/>
      <c r="U2470" s="4"/>
      <c r="V2470" s="4"/>
      <c r="W2470" s="4"/>
      <c r="X2470" s="4"/>
      <c r="Y2470" s="4"/>
      <c r="Z2470" s="4"/>
      <c r="AA2470" s="4"/>
      <c r="AB2470" s="5"/>
    </row>
    <row r="2471" spans="1:28" x14ac:dyDescent="0.35">
      <c r="A2471" s="3"/>
      <c r="B2471" s="4"/>
      <c r="C2471" s="4"/>
      <c r="D2471" s="4"/>
      <c r="E2471" s="4"/>
      <c r="F2471" s="4"/>
      <c r="G2471" s="4"/>
      <c r="H2471" s="4"/>
      <c r="I2471" s="4"/>
      <c r="J2471" s="4"/>
      <c r="K2471" s="4"/>
      <c r="L2471" s="4"/>
      <c r="M2471" s="4"/>
      <c r="N2471" s="4"/>
      <c r="O2471" s="4"/>
      <c r="P2471" s="4"/>
      <c r="Q2471" s="4"/>
      <c r="R2471" s="4"/>
      <c r="S2471" s="4"/>
      <c r="T2471" s="4"/>
      <c r="U2471" s="4"/>
      <c r="V2471" s="4"/>
      <c r="W2471" s="4"/>
      <c r="X2471" s="4"/>
      <c r="Y2471" s="4"/>
      <c r="Z2471" s="4"/>
      <c r="AA2471" s="4"/>
      <c r="AB2471" s="5"/>
    </row>
    <row r="2472" spans="1:28" x14ac:dyDescent="0.35">
      <c r="A2472" s="3"/>
      <c r="B2472" s="4"/>
      <c r="C2472" s="4"/>
      <c r="D2472" s="4"/>
      <c r="E2472" s="4"/>
      <c r="F2472" s="4"/>
      <c r="G2472" s="4"/>
      <c r="H2472" s="4"/>
      <c r="I2472" s="4"/>
      <c r="J2472" s="4"/>
      <c r="K2472" s="4"/>
      <c r="L2472" s="4"/>
      <c r="M2472" s="4"/>
      <c r="N2472" s="4"/>
      <c r="O2472" s="4"/>
      <c r="P2472" s="4"/>
      <c r="Q2472" s="4"/>
      <c r="R2472" s="4"/>
      <c r="S2472" s="4"/>
      <c r="T2472" s="4"/>
      <c r="U2472" s="4"/>
      <c r="V2472" s="4"/>
      <c r="W2472" s="4"/>
      <c r="X2472" s="4"/>
      <c r="Y2472" s="4"/>
      <c r="Z2472" s="4"/>
      <c r="AA2472" s="4"/>
      <c r="AB2472" s="5"/>
    </row>
    <row r="2473" spans="1:28" x14ac:dyDescent="0.35">
      <c r="A2473" s="3"/>
      <c r="B2473" s="4"/>
      <c r="C2473" s="4"/>
      <c r="D2473" s="4"/>
      <c r="E2473" s="4"/>
      <c r="F2473" s="4"/>
      <c r="G2473" s="4"/>
      <c r="H2473" s="4"/>
      <c r="I2473" s="4"/>
      <c r="J2473" s="4"/>
      <c r="K2473" s="4"/>
      <c r="L2473" s="4"/>
      <c r="M2473" s="4"/>
      <c r="N2473" s="4"/>
      <c r="O2473" s="4"/>
      <c r="P2473" s="4"/>
      <c r="Q2473" s="4"/>
      <c r="R2473" s="4"/>
      <c r="S2473" s="4"/>
      <c r="T2473" s="4"/>
      <c r="U2473" s="4"/>
      <c r="V2473" s="4"/>
      <c r="W2473" s="4"/>
      <c r="X2473" s="4"/>
      <c r="Y2473" s="4"/>
      <c r="Z2473" s="4"/>
      <c r="AA2473" s="4"/>
      <c r="AB2473" s="5"/>
    </row>
    <row r="2474" spans="1:28" x14ac:dyDescent="0.35">
      <c r="A2474" s="3"/>
      <c r="B2474" s="4"/>
      <c r="C2474" s="4"/>
      <c r="D2474" s="4"/>
      <c r="E2474" s="4"/>
      <c r="F2474" s="4"/>
      <c r="G2474" s="4"/>
      <c r="H2474" s="4"/>
      <c r="I2474" s="4"/>
      <c r="J2474" s="4"/>
      <c r="K2474" s="4"/>
      <c r="L2474" s="4"/>
      <c r="M2474" s="4"/>
      <c r="N2474" s="4"/>
      <c r="O2474" s="4"/>
      <c r="P2474" s="4"/>
      <c r="Q2474" s="4"/>
      <c r="R2474" s="4"/>
      <c r="S2474" s="4"/>
      <c r="T2474" s="4"/>
      <c r="U2474" s="4"/>
      <c r="V2474" s="4"/>
      <c r="W2474" s="4"/>
      <c r="X2474" s="4"/>
      <c r="Y2474" s="4"/>
      <c r="Z2474" s="4"/>
      <c r="AA2474" s="4"/>
      <c r="AB2474" s="5"/>
    </row>
    <row r="2475" spans="1:28" x14ac:dyDescent="0.35">
      <c r="A2475" s="3"/>
      <c r="B2475" s="4"/>
      <c r="C2475" s="4"/>
      <c r="D2475" s="4"/>
      <c r="E2475" s="4"/>
      <c r="F2475" s="4"/>
      <c r="G2475" s="4"/>
      <c r="H2475" s="4"/>
      <c r="I2475" s="4"/>
      <c r="J2475" s="4"/>
      <c r="K2475" s="4"/>
      <c r="L2475" s="4"/>
      <c r="M2475" s="4"/>
      <c r="N2475" s="4"/>
      <c r="O2475" s="4"/>
      <c r="P2475" s="4"/>
      <c r="Q2475" s="4"/>
      <c r="R2475" s="4"/>
      <c r="S2475" s="4"/>
      <c r="T2475" s="4"/>
      <c r="U2475" s="4"/>
      <c r="V2475" s="4"/>
      <c r="W2475" s="4"/>
      <c r="X2475" s="4"/>
      <c r="Y2475" s="4"/>
      <c r="Z2475" s="4"/>
      <c r="AA2475" s="4"/>
      <c r="AB2475" s="5"/>
    </row>
    <row r="2476" spans="1:28" x14ac:dyDescent="0.35">
      <c r="A2476" s="3"/>
      <c r="B2476" s="4"/>
      <c r="C2476" s="4"/>
      <c r="D2476" s="4"/>
      <c r="E2476" s="4"/>
      <c r="F2476" s="4"/>
      <c r="G2476" s="4"/>
      <c r="H2476" s="4"/>
      <c r="I2476" s="4"/>
      <c r="J2476" s="4"/>
      <c r="K2476" s="4"/>
      <c r="L2476" s="4"/>
      <c r="M2476" s="4"/>
      <c r="N2476" s="4"/>
      <c r="O2476" s="4"/>
      <c r="P2476" s="4"/>
      <c r="Q2476" s="4"/>
      <c r="R2476" s="4"/>
      <c r="S2476" s="4"/>
      <c r="T2476" s="4"/>
      <c r="U2476" s="4"/>
      <c r="V2476" s="4"/>
      <c r="W2476" s="4"/>
      <c r="X2476" s="4"/>
      <c r="Y2476" s="4"/>
      <c r="Z2476" s="4"/>
      <c r="AA2476" s="4"/>
      <c r="AB2476" s="5"/>
    </row>
    <row r="2477" spans="1:28" x14ac:dyDescent="0.35">
      <c r="A2477" s="3"/>
      <c r="B2477" s="4"/>
      <c r="C2477" s="4"/>
      <c r="D2477" s="4"/>
      <c r="E2477" s="4"/>
      <c r="F2477" s="4"/>
      <c r="G2477" s="4"/>
      <c r="H2477" s="4"/>
      <c r="I2477" s="4"/>
      <c r="J2477" s="4"/>
      <c r="K2477" s="4"/>
      <c r="L2477" s="4"/>
      <c r="M2477" s="4"/>
      <c r="N2477" s="4"/>
      <c r="O2477" s="4"/>
      <c r="P2477" s="4"/>
      <c r="Q2477" s="4"/>
      <c r="R2477" s="4"/>
      <c r="S2477" s="4"/>
      <c r="T2477" s="4"/>
      <c r="U2477" s="4"/>
      <c r="V2477" s="4"/>
      <c r="W2477" s="4"/>
      <c r="X2477" s="4"/>
      <c r="Y2477" s="4"/>
      <c r="Z2477" s="4"/>
      <c r="AA2477" s="4"/>
      <c r="AB2477" s="5"/>
    </row>
    <row r="2478" spans="1:28" x14ac:dyDescent="0.35">
      <c r="A2478" s="3"/>
      <c r="B2478" s="4"/>
      <c r="C2478" s="4"/>
      <c r="D2478" s="4"/>
      <c r="E2478" s="4"/>
      <c r="F2478" s="4"/>
      <c r="G2478" s="4"/>
      <c r="H2478" s="4"/>
      <c r="I2478" s="4"/>
      <c r="J2478" s="4"/>
      <c r="K2478" s="4"/>
      <c r="L2478" s="4"/>
      <c r="M2478" s="4"/>
      <c r="N2478" s="4"/>
      <c r="O2478" s="4"/>
      <c r="P2478" s="4"/>
      <c r="Q2478" s="4"/>
      <c r="R2478" s="4"/>
      <c r="S2478" s="4"/>
      <c r="T2478" s="4"/>
      <c r="U2478" s="4"/>
      <c r="V2478" s="4"/>
      <c r="W2478" s="4"/>
      <c r="X2478" s="4"/>
      <c r="Y2478" s="4"/>
      <c r="Z2478" s="4"/>
      <c r="AA2478" s="4"/>
      <c r="AB2478" s="5"/>
    </row>
    <row r="2479" spans="1:28" x14ac:dyDescent="0.35">
      <c r="A2479" s="3"/>
      <c r="B2479" s="4"/>
      <c r="C2479" s="4"/>
      <c r="D2479" s="4"/>
      <c r="E2479" s="4"/>
      <c r="F2479" s="4"/>
      <c r="G2479" s="4"/>
      <c r="H2479" s="4"/>
      <c r="I2479" s="4"/>
      <c r="J2479" s="4"/>
      <c r="K2479" s="4"/>
      <c r="L2479" s="4"/>
      <c r="M2479" s="4"/>
      <c r="N2479" s="4"/>
      <c r="O2479" s="4"/>
      <c r="P2479" s="4"/>
      <c r="Q2479" s="4"/>
      <c r="R2479" s="4"/>
      <c r="S2479" s="4"/>
      <c r="T2479" s="4"/>
      <c r="U2479" s="4"/>
      <c r="V2479" s="4"/>
      <c r="W2479" s="4"/>
      <c r="X2479" s="4"/>
      <c r="Y2479" s="4"/>
      <c r="Z2479" s="4"/>
      <c r="AA2479" s="4"/>
      <c r="AB2479" s="5"/>
    </row>
    <row r="2480" spans="1:28" x14ac:dyDescent="0.35">
      <c r="A2480" s="3"/>
      <c r="B2480" s="4"/>
      <c r="C2480" s="4"/>
      <c r="D2480" s="4"/>
      <c r="E2480" s="4"/>
      <c r="F2480" s="4"/>
      <c r="G2480" s="4"/>
      <c r="H2480" s="4"/>
      <c r="I2480" s="4"/>
      <c r="J2480" s="4"/>
      <c r="K2480" s="4"/>
      <c r="L2480" s="4"/>
      <c r="M2480" s="4"/>
      <c r="N2480" s="4"/>
      <c r="O2480" s="4"/>
      <c r="P2480" s="4"/>
      <c r="Q2480" s="4"/>
      <c r="R2480" s="4"/>
      <c r="S2480" s="4"/>
      <c r="T2480" s="4"/>
      <c r="U2480" s="4"/>
      <c r="V2480" s="4"/>
      <c r="W2480" s="4"/>
      <c r="X2480" s="4"/>
      <c r="Y2480" s="4"/>
      <c r="Z2480" s="4"/>
      <c r="AA2480" s="4"/>
      <c r="AB2480" s="5"/>
    </row>
    <row r="2481" spans="1:28" x14ac:dyDescent="0.35">
      <c r="A2481" s="3"/>
      <c r="B2481" s="4"/>
      <c r="C2481" s="4"/>
      <c r="D2481" s="4"/>
      <c r="E2481" s="4"/>
      <c r="F2481" s="4"/>
      <c r="G2481" s="4"/>
      <c r="H2481" s="4"/>
      <c r="I2481" s="4"/>
      <c r="J2481" s="4"/>
      <c r="K2481" s="4"/>
      <c r="L2481" s="4"/>
      <c r="M2481" s="4"/>
      <c r="N2481" s="4"/>
      <c r="O2481" s="4"/>
      <c r="P2481" s="4"/>
      <c r="Q2481" s="4"/>
      <c r="R2481" s="4"/>
      <c r="S2481" s="4"/>
      <c r="T2481" s="4"/>
      <c r="U2481" s="4"/>
      <c r="V2481" s="4"/>
      <c r="W2481" s="4"/>
      <c r="X2481" s="4"/>
      <c r="Y2481" s="4"/>
      <c r="Z2481" s="4"/>
      <c r="AA2481" s="4"/>
      <c r="AB2481" s="5"/>
    </row>
    <row r="2482" spans="1:28" x14ac:dyDescent="0.35">
      <c r="A2482" s="3"/>
      <c r="B2482" s="4"/>
      <c r="C2482" s="4"/>
      <c r="D2482" s="4"/>
      <c r="E2482" s="4"/>
      <c r="F2482" s="4"/>
      <c r="G2482" s="4"/>
      <c r="H2482" s="4"/>
      <c r="I2482" s="4"/>
      <c r="J2482" s="4"/>
      <c r="K2482" s="4"/>
      <c r="L2482" s="4"/>
      <c r="M2482" s="4"/>
      <c r="N2482" s="4"/>
      <c r="O2482" s="4"/>
      <c r="P2482" s="4"/>
      <c r="Q2482" s="4"/>
      <c r="R2482" s="4"/>
      <c r="S2482" s="4"/>
      <c r="T2482" s="4"/>
      <c r="U2482" s="4"/>
      <c r="V2482" s="4"/>
      <c r="W2482" s="4"/>
      <c r="X2482" s="4"/>
      <c r="Y2482" s="4"/>
      <c r="Z2482" s="4"/>
      <c r="AA2482" s="4"/>
      <c r="AB2482" s="5"/>
    </row>
    <row r="2483" spans="1:28" x14ac:dyDescent="0.35">
      <c r="A2483" s="3"/>
      <c r="B2483" s="4"/>
      <c r="C2483" s="4"/>
      <c r="D2483" s="4"/>
      <c r="E2483" s="4"/>
      <c r="F2483" s="4"/>
      <c r="G2483" s="4"/>
      <c r="H2483" s="4"/>
      <c r="I2483" s="4"/>
      <c r="J2483" s="4"/>
      <c r="K2483" s="4"/>
      <c r="L2483" s="4"/>
      <c r="M2483" s="4"/>
      <c r="N2483" s="4"/>
      <c r="O2483" s="4"/>
      <c r="P2483" s="4"/>
      <c r="Q2483" s="4"/>
      <c r="R2483" s="4"/>
      <c r="S2483" s="4"/>
      <c r="T2483" s="4"/>
      <c r="U2483" s="4"/>
      <c r="V2483" s="4"/>
      <c r="W2483" s="4"/>
      <c r="X2483" s="4"/>
      <c r="Y2483" s="4"/>
      <c r="Z2483" s="4"/>
      <c r="AA2483" s="4"/>
      <c r="AB2483" s="5"/>
    </row>
    <row r="2484" spans="1:28" x14ac:dyDescent="0.35">
      <c r="A2484" s="3"/>
      <c r="B2484" s="4"/>
      <c r="C2484" s="4"/>
      <c r="D2484" s="4"/>
      <c r="E2484" s="4"/>
      <c r="F2484" s="4"/>
      <c r="G2484" s="4"/>
      <c r="H2484" s="4"/>
      <c r="I2484" s="4"/>
      <c r="J2484" s="4"/>
      <c r="K2484" s="4"/>
      <c r="L2484" s="4"/>
      <c r="M2484" s="4"/>
      <c r="N2484" s="4"/>
      <c r="O2484" s="4"/>
      <c r="P2484" s="4"/>
      <c r="Q2484" s="4"/>
      <c r="R2484" s="4"/>
      <c r="S2484" s="4"/>
      <c r="T2484" s="4"/>
      <c r="U2484" s="4"/>
      <c r="V2484" s="4"/>
      <c r="W2484" s="4"/>
      <c r="X2484" s="4"/>
      <c r="Y2484" s="4"/>
      <c r="Z2484" s="4"/>
      <c r="AA2484" s="4"/>
      <c r="AB2484" s="5"/>
    </row>
    <row r="2485" spans="1:28" x14ac:dyDescent="0.35">
      <c r="A2485" s="3"/>
      <c r="B2485" s="4"/>
      <c r="C2485" s="4"/>
      <c r="D2485" s="4"/>
      <c r="E2485" s="4"/>
      <c r="F2485" s="4"/>
      <c r="G2485" s="4"/>
      <c r="H2485" s="4"/>
      <c r="I2485" s="4"/>
      <c r="J2485" s="4"/>
      <c r="K2485" s="4"/>
      <c r="L2485" s="4"/>
      <c r="M2485" s="4"/>
      <c r="N2485" s="4"/>
      <c r="O2485" s="4"/>
      <c r="P2485" s="4"/>
      <c r="Q2485" s="4"/>
      <c r="R2485" s="4"/>
      <c r="S2485" s="4"/>
      <c r="T2485" s="4"/>
      <c r="U2485" s="4"/>
      <c r="V2485" s="4"/>
      <c r="W2485" s="4"/>
      <c r="X2485" s="4"/>
      <c r="Y2485" s="4"/>
      <c r="Z2485" s="4"/>
      <c r="AA2485" s="4"/>
      <c r="AB2485" s="5"/>
    </row>
    <row r="2486" spans="1:28" x14ac:dyDescent="0.35">
      <c r="A2486" s="3"/>
      <c r="B2486" s="4"/>
      <c r="C2486" s="4"/>
      <c r="D2486" s="4"/>
      <c r="E2486" s="4"/>
      <c r="F2486" s="4"/>
      <c r="G2486" s="4"/>
      <c r="H2486" s="4"/>
      <c r="I2486" s="4"/>
      <c r="J2486" s="4"/>
      <c r="K2486" s="4"/>
      <c r="L2486" s="4"/>
      <c r="M2486" s="4"/>
      <c r="N2486" s="4"/>
      <c r="O2486" s="4"/>
      <c r="P2486" s="4"/>
      <c r="Q2486" s="4"/>
      <c r="R2486" s="4"/>
      <c r="S2486" s="4"/>
      <c r="T2486" s="4"/>
      <c r="U2486" s="4"/>
      <c r="V2486" s="4"/>
      <c r="W2486" s="4"/>
      <c r="X2486" s="4"/>
      <c r="Y2486" s="4"/>
      <c r="Z2486" s="4"/>
      <c r="AA2486" s="4"/>
      <c r="AB2486" s="5"/>
    </row>
    <row r="2487" spans="1:28" x14ac:dyDescent="0.35">
      <c r="A2487" s="3"/>
      <c r="B2487" s="4"/>
      <c r="C2487" s="4"/>
      <c r="D2487" s="4"/>
      <c r="E2487" s="4"/>
      <c r="F2487" s="4"/>
      <c r="G2487" s="4"/>
      <c r="H2487" s="4"/>
      <c r="I2487" s="4"/>
      <c r="J2487" s="4"/>
      <c r="K2487" s="4"/>
      <c r="L2487" s="4"/>
      <c r="M2487" s="4"/>
      <c r="N2487" s="4"/>
      <c r="O2487" s="4"/>
      <c r="P2487" s="4"/>
      <c r="Q2487" s="4"/>
      <c r="R2487" s="4"/>
      <c r="S2487" s="4"/>
      <c r="T2487" s="4"/>
      <c r="U2487" s="4"/>
      <c r="V2487" s="4"/>
      <c r="W2487" s="4"/>
      <c r="X2487" s="4"/>
      <c r="Y2487" s="4"/>
      <c r="Z2487" s="4"/>
      <c r="AA2487" s="4"/>
      <c r="AB2487" s="5"/>
    </row>
    <row r="2488" spans="1:28" x14ac:dyDescent="0.35">
      <c r="A2488" s="3"/>
      <c r="B2488" s="4"/>
      <c r="C2488" s="4"/>
      <c r="D2488" s="4"/>
      <c r="E2488" s="4"/>
      <c r="F2488" s="4"/>
      <c r="G2488" s="4"/>
      <c r="H2488" s="4"/>
      <c r="I2488" s="4"/>
      <c r="J2488" s="4"/>
      <c r="K2488" s="4"/>
      <c r="L2488" s="4"/>
      <c r="M2488" s="4"/>
      <c r="N2488" s="4"/>
      <c r="O2488" s="4"/>
      <c r="P2488" s="4"/>
      <c r="Q2488" s="4"/>
      <c r="R2488" s="4"/>
      <c r="S2488" s="4"/>
      <c r="T2488" s="4"/>
      <c r="U2488" s="4"/>
      <c r="V2488" s="4"/>
      <c r="W2488" s="4"/>
      <c r="X2488" s="4"/>
      <c r="Y2488" s="4"/>
      <c r="Z2488" s="4"/>
      <c r="AA2488" s="4"/>
      <c r="AB2488" s="5"/>
    </row>
    <row r="2489" spans="1:28" x14ac:dyDescent="0.35">
      <c r="A2489" s="3"/>
      <c r="B2489" s="4"/>
      <c r="C2489" s="4"/>
      <c r="D2489" s="4"/>
      <c r="E2489" s="4"/>
      <c r="F2489" s="4"/>
      <c r="G2489" s="4"/>
      <c r="H2489" s="4"/>
      <c r="I2489" s="4"/>
      <c r="J2489" s="4"/>
      <c r="K2489" s="4"/>
      <c r="L2489" s="4"/>
      <c r="M2489" s="4"/>
      <c r="N2489" s="4"/>
      <c r="O2489" s="4"/>
      <c r="P2489" s="4"/>
      <c r="Q2489" s="4"/>
      <c r="R2489" s="4"/>
      <c r="S2489" s="4"/>
      <c r="T2489" s="4"/>
      <c r="U2489" s="4"/>
      <c r="V2489" s="4"/>
      <c r="W2489" s="4"/>
      <c r="X2489" s="4"/>
      <c r="Y2489" s="4"/>
      <c r="Z2489" s="4"/>
      <c r="AA2489" s="4"/>
      <c r="AB2489" s="5"/>
    </row>
    <row r="2490" spans="1:28" x14ac:dyDescent="0.35">
      <c r="A2490" s="3"/>
      <c r="B2490" s="4"/>
      <c r="C2490" s="4"/>
      <c r="D2490" s="4"/>
      <c r="E2490" s="4"/>
      <c r="F2490" s="4"/>
      <c r="G2490" s="4"/>
      <c r="H2490" s="4"/>
      <c r="I2490" s="4"/>
      <c r="J2490" s="4"/>
      <c r="K2490" s="4"/>
      <c r="L2490" s="4"/>
      <c r="M2490" s="4"/>
      <c r="N2490" s="4"/>
      <c r="O2490" s="4"/>
      <c r="P2490" s="4"/>
      <c r="Q2490" s="4"/>
      <c r="R2490" s="4"/>
      <c r="S2490" s="4"/>
      <c r="T2490" s="4"/>
      <c r="U2490" s="4"/>
      <c r="V2490" s="4"/>
      <c r="W2490" s="4"/>
      <c r="X2490" s="4"/>
      <c r="Y2490" s="4"/>
      <c r="Z2490" s="4"/>
      <c r="AA2490" s="4"/>
      <c r="AB2490" s="5"/>
    </row>
    <row r="2491" spans="1:28" x14ac:dyDescent="0.35">
      <c r="A2491" s="3"/>
      <c r="B2491" s="4"/>
      <c r="C2491" s="4"/>
      <c r="D2491" s="4"/>
      <c r="E2491" s="4"/>
      <c r="F2491" s="4"/>
      <c r="G2491" s="4"/>
      <c r="H2491" s="4"/>
      <c r="I2491" s="4"/>
      <c r="J2491" s="4"/>
      <c r="K2491" s="4"/>
      <c r="L2491" s="4"/>
      <c r="M2491" s="4"/>
      <c r="N2491" s="4"/>
      <c r="O2491" s="4"/>
      <c r="P2491" s="4"/>
      <c r="Q2491" s="4"/>
      <c r="R2491" s="4"/>
      <c r="S2491" s="4"/>
      <c r="T2491" s="4"/>
      <c r="U2491" s="4"/>
      <c r="V2491" s="4"/>
      <c r="W2491" s="4"/>
      <c r="X2491" s="4"/>
      <c r="Y2491" s="4"/>
      <c r="Z2491" s="4"/>
      <c r="AA2491" s="4"/>
      <c r="AB2491" s="5"/>
    </row>
    <row r="2492" spans="1:28" x14ac:dyDescent="0.35">
      <c r="A2492" s="3"/>
      <c r="B2492" s="4"/>
      <c r="C2492" s="4"/>
      <c r="D2492" s="4"/>
      <c r="E2492" s="4"/>
      <c r="F2492" s="4"/>
      <c r="G2492" s="4"/>
      <c r="H2492" s="4"/>
      <c r="I2492" s="4"/>
      <c r="J2492" s="4"/>
      <c r="K2492" s="4"/>
      <c r="L2492" s="4"/>
      <c r="M2492" s="4"/>
      <c r="N2492" s="4"/>
      <c r="O2492" s="4"/>
      <c r="P2492" s="4"/>
      <c r="Q2492" s="4"/>
      <c r="R2492" s="4"/>
      <c r="S2492" s="4"/>
      <c r="T2492" s="4"/>
      <c r="U2492" s="4"/>
      <c r="V2492" s="4"/>
      <c r="W2492" s="4"/>
      <c r="X2492" s="4"/>
      <c r="Y2492" s="4"/>
      <c r="Z2492" s="4"/>
      <c r="AA2492" s="4"/>
      <c r="AB2492" s="5"/>
    </row>
    <row r="2493" spans="1:28" x14ac:dyDescent="0.35">
      <c r="A2493" s="3"/>
      <c r="B2493" s="4"/>
      <c r="C2493" s="4"/>
      <c r="D2493" s="4"/>
      <c r="E2493" s="4"/>
      <c r="F2493" s="4"/>
      <c r="G2493" s="4"/>
      <c r="H2493" s="4"/>
      <c r="I2493" s="4"/>
      <c r="J2493" s="4"/>
      <c r="K2493" s="4"/>
      <c r="L2493" s="4"/>
      <c r="M2493" s="4"/>
      <c r="N2493" s="4"/>
      <c r="O2493" s="4"/>
      <c r="P2493" s="4"/>
      <c r="Q2493" s="4"/>
      <c r="R2493" s="4"/>
      <c r="S2493" s="4"/>
      <c r="T2493" s="4"/>
      <c r="U2493" s="4"/>
      <c r="V2493" s="4"/>
      <c r="W2493" s="4"/>
      <c r="X2493" s="4"/>
      <c r="Y2493" s="4"/>
      <c r="Z2493" s="4"/>
      <c r="AA2493" s="4"/>
      <c r="AB2493" s="5"/>
    </row>
    <row r="2494" spans="1:28" x14ac:dyDescent="0.35">
      <c r="A2494" s="3"/>
      <c r="B2494" s="4"/>
      <c r="C2494" s="4"/>
      <c r="D2494" s="4"/>
      <c r="E2494" s="4"/>
      <c r="F2494" s="4"/>
      <c r="G2494" s="4"/>
      <c r="H2494" s="4"/>
      <c r="I2494" s="4"/>
      <c r="J2494" s="4"/>
      <c r="K2494" s="4"/>
      <c r="L2494" s="4"/>
      <c r="M2494" s="4"/>
      <c r="N2494" s="4"/>
      <c r="O2494" s="4"/>
      <c r="P2494" s="4"/>
      <c r="Q2494" s="4"/>
      <c r="R2494" s="4"/>
      <c r="S2494" s="4"/>
      <c r="T2494" s="4"/>
      <c r="U2494" s="4"/>
      <c r="V2494" s="4"/>
      <c r="W2494" s="4"/>
      <c r="X2494" s="4"/>
      <c r="Y2494" s="4"/>
      <c r="Z2494" s="4"/>
      <c r="AA2494" s="4"/>
      <c r="AB2494" s="5"/>
    </row>
    <row r="2495" spans="1:28" x14ac:dyDescent="0.35">
      <c r="A2495" s="3"/>
      <c r="B2495" s="4"/>
      <c r="C2495" s="4"/>
      <c r="D2495" s="4"/>
      <c r="E2495" s="4"/>
      <c r="F2495" s="4"/>
      <c r="G2495" s="4"/>
      <c r="H2495" s="4"/>
      <c r="I2495" s="4"/>
      <c r="J2495" s="4"/>
      <c r="K2495" s="4"/>
      <c r="L2495" s="4"/>
      <c r="M2495" s="4"/>
      <c r="N2495" s="4"/>
      <c r="O2495" s="4"/>
      <c r="P2495" s="4"/>
      <c r="Q2495" s="4"/>
      <c r="R2495" s="4"/>
      <c r="S2495" s="4"/>
      <c r="T2495" s="4"/>
      <c r="U2495" s="4"/>
      <c r="V2495" s="4"/>
      <c r="W2495" s="4"/>
      <c r="X2495" s="4"/>
      <c r="Y2495" s="4"/>
      <c r="Z2495" s="4"/>
      <c r="AA2495" s="4"/>
      <c r="AB2495" s="5"/>
    </row>
    <row r="2496" spans="1:28" x14ac:dyDescent="0.35">
      <c r="A2496" s="3"/>
      <c r="B2496" s="4"/>
      <c r="C2496" s="4"/>
      <c r="D2496" s="4"/>
      <c r="E2496" s="4"/>
      <c r="F2496" s="4"/>
      <c r="G2496" s="4"/>
      <c r="H2496" s="4"/>
      <c r="I2496" s="4"/>
      <c r="J2496" s="4"/>
      <c r="K2496" s="4"/>
      <c r="L2496" s="4"/>
      <c r="M2496" s="4"/>
      <c r="N2496" s="4"/>
      <c r="O2496" s="4"/>
      <c r="P2496" s="4"/>
      <c r="Q2496" s="4"/>
      <c r="R2496" s="4"/>
      <c r="S2496" s="4"/>
      <c r="T2496" s="4"/>
      <c r="U2496" s="4"/>
      <c r="V2496" s="4"/>
      <c r="W2496" s="4"/>
      <c r="X2496" s="4"/>
      <c r="Y2496" s="4"/>
      <c r="Z2496" s="4"/>
      <c r="AA2496" s="4"/>
      <c r="AB2496" s="5"/>
    </row>
    <row r="2497" spans="1:28" x14ac:dyDescent="0.35">
      <c r="A2497" s="3"/>
      <c r="B2497" s="4"/>
      <c r="C2497" s="4"/>
      <c r="D2497" s="4"/>
      <c r="E2497" s="4"/>
      <c r="F2497" s="4"/>
      <c r="G2497" s="4"/>
      <c r="H2497" s="4"/>
      <c r="I2497" s="4"/>
      <c r="J2497" s="4"/>
      <c r="K2497" s="4"/>
      <c r="L2497" s="4"/>
      <c r="M2497" s="4"/>
      <c r="N2497" s="4"/>
      <c r="O2497" s="4"/>
      <c r="P2497" s="4"/>
      <c r="Q2497" s="4"/>
      <c r="R2497" s="4"/>
      <c r="S2497" s="4"/>
      <c r="T2497" s="4"/>
      <c r="U2497" s="4"/>
      <c r="V2497" s="4"/>
      <c r="W2497" s="4"/>
      <c r="X2497" s="4"/>
      <c r="Y2497" s="4"/>
      <c r="Z2497" s="4"/>
      <c r="AA2497" s="4"/>
      <c r="AB2497" s="5"/>
    </row>
    <row r="2498" spans="1:28" x14ac:dyDescent="0.35">
      <c r="A2498" s="3"/>
      <c r="B2498" s="4"/>
      <c r="C2498" s="4"/>
      <c r="D2498" s="4"/>
      <c r="E2498" s="4"/>
      <c r="F2498" s="4"/>
      <c r="G2498" s="4"/>
      <c r="H2498" s="4"/>
      <c r="I2498" s="4"/>
      <c r="J2498" s="4"/>
      <c r="K2498" s="4"/>
      <c r="L2498" s="4"/>
      <c r="M2498" s="4"/>
      <c r="N2498" s="4"/>
      <c r="O2498" s="4"/>
      <c r="P2498" s="4"/>
      <c r="Q2498" s="4"/>
      <c r="R2498" s="4"/>
      <c r="S2498" s="4"/>
      <c r="T2498" s="4"/>
      <c r="U2498" s="4"/>
      <c r="V2498" s="4"/>
      <c r="W2498" s="4"/>
      <c r="X2498" s="4"/>
      <c r="Y2498" s="4"/>
      <c r="Z2498" s="4"/>
      <c r="AA2498" s="4"/>
      <c r="AB2498" s="5"/>
    </row>
    <row r="2499" spans="1:28" x14ac:dyDescent="0.35">
      <c r="A2499" s="3"/>
      <c r="B2499" s="4"/>
      <c r="C2499" s="4"/>
      <c r="D2499" s="4"/>
      <c r="E2499" s="4"/>
      <c r="F2499" s="4"/>
      <c r="G2499" s="4"/>
      <c r="H2499" s="4"/>
      <c r="I2499" s="4"/>
      <c r="J2499" s="4"/>
      <c r="K2499" s="4"/>
      <c r="L2499" s="4"/>
      <c r="M2499" s="4"/>
      <c r="N2499" s="4"/>
      <c r="O2499" s="4"/>
      <c r="P2499" s="4"/>
      <c r="Q2499" s="4"/>
      <c r="R2499" s="4"/>
      <c r="S2499" s="4"/>
      <c r="T2499" s="4"/>
      <c r="U2499" s="4"/>
      <c r="V2499" s="4"/>
      <c r="W2499" s="4"/>
      <c r="X2499" s="4"/>
      <c r="Y2499" s="4"/>
      <c r="Z2499" s="4"/>
      <c r="AA2499" s="4"/>
      <c r="AB2499" s="5"/>
    </row>
    <row r="2500" spans="1:28" x14ac:dyDescent="0.35">
      <c r="A2500" s="3"/>
      <c r="B2500" s="4"/>
      <c r="C2500" s="4"/>
      <c r="D2500" s="4"/>
      <c r="E2500" s="4"/>
      <c r="F2500" s="4"/>
      <c r="G2500" s="4"/>
      <c r="H2500" s="4"/>
      <c r="I2500" s="4"/>
      <c r="J2500" s="4"/>
      <c r="K2500" s="4"/>
      <c r="L2500" s="4"/>
      <c r="M2500" s="4"/>
      <c r="N2500" s="4"/>
      <c r="O2500" s="4"/>
      <c r="P2500" s="4"/>
      <c r="Q2500" s="4"/>
      <c r="R2500" s="4"/>
      <c r="S2500" s="4"/>
      <c r="T2500" s="4"/>
      <c r="U2500" s="4"/>
      <c r="V2500" s="4"/>
      <c r="W2500" s="4"/>
      <c r="X2500" s="4"/>
      <c r="Y2500" s="4"/>
      <c r="Z2500" s="4"/>
      <c r="AA2500" s="4"/>
      <c r="AB2500" s="5"/>
    </row>
    <row r="2501" spans="1:28" x14ac:dyDescent="0.35">
      <c r="A2501" s="3"/>
      <c r="B2501" s="4"/>
      <c r="C2501" s="4"/>
      <c r="D2501" s="4"/>
      <c r="E2501" s="4"/>
      <c r="F2501" s="4"/>
      <c r="G2501" s="4"/>
      <c r="H2501" s="4"/>
      <c r="I2501" s="4"/>
      <c r="J2501" s="4"/>
      <c r="K2501" s="4"/>
      <c r="L2501" s="4"/>
      <c r="M2501" s="4"/>
      <c r="N2501" s="4"/>
      <c r="O2501" s="4"/>
      <c r="P2501" s="4"/>
      <c r="Q2501" s="4"/>
      <c r="R2501" s="4"/>
      <c r="S2501" s="4"/>
      <c r="T2501" s="4"/>
      <c r="U2501" s="4"/>
      <c r="V2501" s="4"/>
      <c r="W2501" s="4"/>
      <c r="X2501" s="4"/>
      <c r="Y2501" s="4"/>
      <c r="Z2501" s="4"/>
      <c r="AA2501" s="4"/>
      <c r="AB2501" s="5"/>
    </row>
    <row r="2502" spans="1:28" x14ac:dyDescent="0.35">
      <c r="A2502" s="3"/>
      <c r="B2502" s="4"/>
      <c r="C2502" s="4"/>
      <c r="D2502" s="4"/>
      <c r="E2502" s="4"/>
      <c r="F2502" s="4"/>
      <c r="G2502" s="4"/>
      <c r="H2502" s="4"/>
      <c r="I2502" s="4"/>
      <c r="J2502" s="4"/>
      <c r="K2502" s="4"/>
      <c r="L2502" s="4"/>
      <c r="M2502" s="4"/>
      <c r="N2502" s="4"/>
      <c r="O2502" s="4"/>
      <c r="P2502" s="4"/>
      <c r="Q2502" s="4"/>
      <c r="R2502" s="4"/>
      <c r="S2502" s="4"/>
      <c r="T2502" s="4"/>
      <c r="U2502" s="4"/>
      <c r="V2502" s="4"/>
      <c r="W2502" s="4"/>
      <c r="X2502" s="4"/>
      <c r="Y2502" s="4"/>
      <c r="Z2502" s="4"/>
      <c r="AA2502" s="4"/>
      <c r="AB2502" s="5"/>
    </row>
    <row r="2503" spans="1:28" x14ac:dyDescent="0.35">
      <c r="A2503" s="3"/>
      <c r="B2503" s="4"/>
      <c r="C2503" s="4"/>
      <c r="D2503" s="4"/>
      <c r="E2503" s="4"/>
      <c r="F2503" s="4"/>
      <c r="G2503" s="4"/>
      <c r="H2503" s="4"/>
      <c r="I2503" s="4"/>
      <c r="J2503" s="4"/>
      <c r="K2503" s="4"/>
      <c r="L2503" s="4"/>
      <c r="M2503" s="4"/>
      <c r="N2503" s="4"/>
      <c r="O2503" s="4"/>
      <c r="P2503" s="4"/>
      <c r="Q2503" s="4"/>
      <c r="R2503" s="4"/>
      <c r="S2503" s="4"/>
      <c r="T2503" s="4"/>
      <c r="U2503" s="4"/>
      <c r="V2503" s="4"/>
      <c r="W2503" s="4"/>
      <c r="X2503" s="4"/>
      <c r="Y2503" s="4"/>
      <c r="Z2503" s="4"/>
      <c r="AA2503" s="4"/>
      <c r="AB2503" s="5"/>
    </row>
    <row r="2504" spans="1:28" x14ac:dyDescent="0.35">
      <c r="A2504" s="3"/>
      <c r="B2504" s="4"/>
      <c r="C2504" s="4"/>
      <c r="D2504" s="4"/>
      <c r="E2504" s="4"/>
      <c r="F2504" s="4"/>
      <c r="G2504" s="4"/>
      <c r="H2504" s="4"/>
      <c r="I2504" s="4"/>
      <c r="J2504" s="4"/>
      <c r="K2504" s="4"/>
      <c r="L2504" s="4"/>
      <c r="M2504" s="4"/>
      <c r="N2504" s="4"/>
      <c r="O2504" s="4"/>
      <c r="P2504" s="4"/>
      <c r="Q2504" s="4"/>
      <c r="R2504" s="4"/>
      <c r="S2504" s="4"/>
      <c r="T2504" s="4"/>
      <c r="U2504" s="4"/>
      <c r="V2504" s="4"/>
      <c r="W2504" s="4"/>
      <c r="X2504" s="4"/>
      <c r="Y2504" s="4"/>
      <c r="Z2504" s="4"/>
      <c r="AA2504" s="4"/>
      <c r="AB2504" s="5"/>
    </row>
    <row r="2505" spans="1:28" x14ac:dyDescent="0.35">
      <c r="A2505" s="3"/>
      <c r="B2505" s="4"/>
      <c r="C2505" s="4"/>
      <c r="D2505" s="4"/>
      <c r="E2505" s="4"/>
      <c r="F2505" s="4"/>
      <c r="G2505" s="4"/>
      <c r="H2505" s="4"/>
      <c r="I2505" s="4"/>
      <c r="J2505" s="4"/>
      <c r="K2505" s="4"/>
      <c r="L2505" s="4"/>
      <c r="M2505" s="4"/>
      <c r="N2505" s="4"/>
      <c r="O2505" s="4"/>
      <c r="P2505" s="4"/>
      <c r="Q2505" s="4"/>
      <c r="R2505" s="4"/>
      <c r="S2505" s="4"/>
      <c r="T2505" s="4"/>
      <c r="U2505" s="4"/>
      <c r="V2505" s="4"/>
      <c r="W2505" s="4"/>
      <c r="X2505" s="4"/>
      <c r="Y2505" s="4"/>
      <c r="Z2505" s="4"/>
      <c r="AA2505" s="4"/>
      <c r="AB2505" s="5"/>
    </row>
    <row r="2506" spans="1:28" x14ac:dyDescent="0.35">
      <c r="A2506" s="3"/>
      <c r="B2506" s="4"/>
      <c r="C2506" s="4"/>
      <c r="D2506" s="4"/>
      <c r="E2506" s="4"/>
      <c r="F2506" s="4"/>
      <c r="G2506" s="4"/>
      <c r="H2506" s="4"/>
      <c r="I2506" s="4"/>
      <c r="J2506" s="4"/>
      <c r="K2506" s="4"/>
      <c r="L2506" s="4"/>
      <c r="M2506" s="4"/>
      <c r="N2506" s="4"/>
      <c r="O2506" s="4"/>
      <c r="P2506" s="4"/>
      <c r="Q2506" s="4"/>
      <c r="R2506" s="4"/>
      <c r="S2506" s="4"/>
      <c r="T2506" s="4"/>
      <c r="U2506" s="4"/>
      <c r="V2506" s="4"/>
      <c r="W2506" s="4"/>
      <c r="X2506" s="4"/>
      <c r="Y2506" s="4"/>
      <c r="Z2506" s="4"/>
      <c r="AA2506" s="4"/>
      <c r="AB2506" s="5"/>
    </row>
    <row r="2507" spans="1:28" x14ac:dyDescent="0.35">
      <c r="A2507" s="3"/>
      <c r="B2507" s="4"/>
      <c r="C2507" s="4"/>
      <c r="D2507" s="4"/>
      <c r="E2507" s="4"/>
      <c r="F2507" s="4"/>
      <c r="G2507" s="4"/>
      <c r="H2507" s="4"/>
      <c r="I2507" s="4"/>
      <c r="J2507" s="4"/>
      <c r="K2507" s="4"/>
      <c r="L2507" s="4"/>
      <c r="M2507" s="4"/>
      <c r="N2507" s="4"/>
      <c r="O2507" s="4"/>
      <c r="P2507" s="4"/>
      <c r="Q2507" s="4"/>
      <c r="R2507" s="4"/>
      <c r="S2507" s="4"/>
      <c r="T2507" s="4"/>
      <c r="U2507" s="4"/>
      <c r="V2507" s="4"/>
      <c r="W2507" s="4"/>
      <c r="X2507" s="4"/>
      <c r="Y2507" s="4"/>
      <c r="Z2507" s="4"/>
      <c r="AA2507" s="4"/>
      <c r="AB2507" s="5"/>
    </row>
    <row r="2508" spans="1:28" x14ac:dyDescent="0.35">
      <c r="A2508" s="3"/>
      <c r="B2508" s="4"/>
      <c r="C2508" s="4"/>
      <c r="D2508" s="4"/>
      <c r="E2508" s="4"/>
      <c r="F2508" s="4"/>
      <c r="G2508" s="4"/>
      <c r="H2508" s="4"/>
      <c r="I2508" s="4"/>
      <c r="J2508" s="4"/>
      <c r="K2508" s="4"/>
      <c r="L2508" s="4"/>
      <c r="M2508" s="4"/>
      <c r="N2508" s="4"/>
      <c r="O2508" s="4"/>
      <c r="P2508" s="4"/>
      <c r="Q2508" s="4"/>
      <c r="R2508" s="4"/>
      <c r="S2508" s="4"/>
      <c r="T2508" s="4"/>
      <c r="U2508" s="4"/>
      <c r="V2508" s="4"/>
      <c r="W2508" s="4"/>
      <c r="X2508" s="4"/>
      <c r="Y2508" s="4"/>
      <c r="Z2508" s="4"/>
      <c r="AA2508" s="4"/>
      <c r="AB2508" s="5"/>
    </row>
    <row r="2509" spans="1:28" x14ac:dyDescent="0.35">
      <c r="A2509" s="3"/>
      <c r="B2509" s="4"/>
      <c r="C2509" s="4"/>
      <c r="D2509" s="4"/>
      <c r="E2509" s="4"/>
      <c r="F2509" s="4"/>
      <c r="G2509" s="4"/>
      <c r="H2509" s="4"/>
      <c r="I2509" s="4"/>
      <c r="J2509" s="4"/>
      <c r="K2509" s="4"/>
      <c r="L2509" s="4"/>
      <c r="M2509" s="4"/>
      <c r="N2509" s="4"/>
      <c r="O2509" s="4"/>
      <c r="P2509" s="4"/>
      <c r="Q2509" s="4"/>
      <c r="R2509" s="4"/>
      <c r="S2509" s="4"/>
      <c r="T2509" s="4"/>
      <c r="U2509" s="4"/>
      <c r="V2509" s="4"/>
      <c r="W2509" s="4"/>
      <c r="X2509" s="4"/>
      <c r="Y2509" s="4"/>
      <c r="Z2509" s="4"/>
      <c r="AA2509" s="4"/>
      <c r="AB2509" s="5"/>
    </row>
    <row r="2510" spans="1:28" x14ac:dyDescent="0.35">
      <c r="A2510" s="3"/>
      <c r="B2510" s="4"/>
      <c r="C2510" s="4"/>
      <c r="D2510" s="4"/>
      <c r="E2510" s="4"/>
      <c r="F2510" s="4"/>
      <c r="G2510" s="4"/>
      <c r="H2510" s="4"/>
      <c r="I2510" s="4"/>
      <c r="J2510" s="4"/>
      <c r="K2510" s="4"/>
      <c r="L2510" s="4"/>
      <c r="M2510" s="4"/>
      <c r="N2510" s="4"/>
      <c r="O2510" s="4"/>
      <c r="P2510" s="4"/>
      <c r="Q2510" s="4"/>
      <c r="R2510" s="4"/>
      <c r="S2510" s="4"/>
      <c r="T2510" s="4"/>
      <c r="U2510" s="4"/>
      <c r="V2510" s="4"/>
      <c r="W2510" s="4"/>
      <c r="X2510" s="4"/>
      <c r="Y2510" s="4"/>
      <c r="Z2510" s="4"/>
      <c r="AA2510" s="4"/>
      <c r="AB2510" s="5"/>
    </row>
    <row r="2511" spans="1:28" x14ac:dyDescent="0.35">
      <c r="A2511" s="3"/>
      <c r="B2511" s="4"/>
      <c r="C2511" s="4"/>
      <c r="D2511" s="4"/>
      <c r="E2511" s="4"/>
      <c r="F2511" s="4"/>
      <c r="G2511" s="4"/>
      <c r="H2511" s="4"/>
      <c r="I2511" s="4"/>
      <c r="J2511" s="4"/>
      <c r="K2511" s="4"/>
      <c r="L2511" s="4"/>
      <c r="M2511" s="4"/>
      <c r="N2511" s="4"/>
      <c r="O2511" s="4"/>
      <c r="P2511" s="4"/>
      <c r="Q2511" s="4"/>
      <c r="R2511" s="4"/>
      <c r="S2511" s="4"/>
      <c r="T2511" s="4"/>
      <c r="U2511" s="4"/>
      <c r="V2511" s="4"/>
      <c r="W2511" s="4"/>
      <c r="X2511" s="4"/>
      <c r="Y2511" s="4"/>
      <c r="Z2511" s="4"/>
      <c r="AA2511" s="4"/>
      <c r="AB2511" s="5"/>
    </row>
    <row r="2512" spans="1:28" x14ac:dyDescent="0.35">
      <c r="A2512" s="3"/>
      <c r="B2512" s="4"/>
      <c r="C2512" s="4"/>
      <c r="D2512" s="4"/>
      <c r="E2512" s="4"/>
      <c r="F2512" s="4"/>
      <c r="G2512" s="4"/>
      <c r="H2512" s="4"/>
      <c r="I2512" s="4"/>
      <c r="J2512" s="4"/>
      <c r="K2512" s="4"/>
      <c r="L2512" s="4"/>
      <c r="M2512" s="4"/>
      <c r="N2512" s="4"/>
      <c r="O2512" s="4"/>
      <c r="P2512" s="4"/>
      <c r="Q2512" s="4"/>
      <c r="R2512" s="4"/>
      <c r="S2512" s="4"/>
      <c r="T2512" s="4"/>
      <c r="U2512" s="4"/>
      <c r="V2512" s="4"/>
      <c r="W2512" s="4"/>
      <c r="X2512" s="4"/>
      <c r="Y2512" s="4"/>
      <c r="Z2512" s="4"/>
      <c r="AA2512" s="4"/>
      <c r="AB2512" s="5"/>
    </row>
    <row r="2513" spans="1:28" x14ac:dyDescent="0.35">
      <c r="A2513" s="3"/>
      <c r="B2513" s="4"/>
      <c r="C2513" s="4"/>
      <c r="D2513" s="4"/>
      <c r="E2513" s="4"/>
      <c r="F2513" s="4"/>
      <c r="G2513" s="4"/>
      <c r="H2513" s="4"/>
      <c r="I2513" s="4"/>
      <c r="J2513" s="4"/>
      <c r="K2513" s="4"/>
      <c r="L2513" s="4"/>
      <c r="M2513" s="4"/>
      <c r="N2513" s="4"/>
      <c r="O2513" s="4"/>
      <c r="P2513" s="4"/>
      <c r="Q2513" s="4"/>
      <c r="R2513" s="4"/>
      <c r="S2513" s="4"/>
      <c r="T2513" s="4"/>
      <c r="U2513" s="4"/>
      <c r="V2513" s="4"/>
      <c r="W2513" s="4"/>
      <c r="X2513" s="4"/>
      <c r="Y2513" s="4"/>
      <c r="Z2513" s="4"/>
      <c r="AA2513" s="4"/>
      <c r="AB2513" s="5"/>
    </row>
    <row r="2514" spans="1:28" x14ac:dyDescent="0.35">
      <c r="A2514" s="3"/>
      <c r="B2514" s="4"/>
      <c r="C2514" s="4"/>
      <c r="D2514" s="4"/>
      <c r="E2514" s="4"/>
      <c r="F2514" s="4"/>
      <c r="G2514" s="4"/>
      <c r="H2514" s="4"/>
      <c r="I2514" s="4"/>
      <c r="J2514" s="4"/>
      <c r="K2514" s="4"/>
      <c r="L2514" s="4"/>
      <c r="M2514" s="4"/>
      <c r="N2514" s="4"/>
      <c r="O2514" s="4"/>
      <c r="P2514" s="4"/>
      <c r="Q2514" s="4"/>
      <c r="R2514" s="4"/>
      <c r="S2514" s="4"/>
      <c r="T2514" s="4"/>
      <c r="U2514" s="4"/>
      <c r="V2514" s="4"/>
      <c r="W2514" s="4"/>
      <c r="X2514" s="4"/>
      <c r="Y2514" s="4"/>
      <c r="Z2514" s="4"/>
      <c r="AA2514" s="4"/>
      <c r="AB2514" s="5"/>
    </row>
    <row r="2515" spans="1:28" x14ac:dyDescent="0.35">
      <c r="A2515" s="3"/>
      <c r="B2515" s="4"/>
      <c r="C2515" s="4"/>
      <c r="D2515" s="4"/>
      <c r="E2515" s="4"/>
      <c r="F2515" s="4"/>
      <c r="G2515" s="4"/>
      <c r="H2515" s="4"/>
      <c r="I2515" s="4"/>
      <c r="J2515" s="4"/>
      <c r="K2515" s="4"/>
      <c r="L2515" s="4"/>
      <c r="M2515" s="4"/>
      <c r="N2515" s="4"/>
      <c r="O2515" s="4"/>
      <c r="P2515" s="4"/>
      <c r="Q2515" s="4"/>
      <c r="R2515" s="4"/>
      <c r="S2515" s="4"/>
      <c r="T2515" s="4"/>
      <c r="U2515" s="4"/>
      <c r="V2515" s="4"/>
      <c r="W2515" s="4"/>
      <c r="X2515" s="4"/>
      <c r="Y2515" s="4"/>
      <c r="Z2515" s="4"/>
      <c r="AA2515" s="4"/>
      <c r="AB2515" s="5"/>
    </row>
    <row r="2516" spans="1:28" x14ac:dyDescent="0.35">
      <c r="A2516" s="3"/>
      <c r="B2516" s="4"/>
      <c r="C2516" s="4"/>
      <c r="D2516" s="4"/>
      <c r="E2516" s="4"/>
      <c r="F2516" s="4"/>
      <c r="G2516" s="4"/>
      <c r="H2516" s="4"/>
      <c r="I2516" s="4"/>
      <c r="J2516" s="4"/>
      <c r="K2516" s="4"/>
      <c r="L2516" s="4"/>
      <c r="M2516" s="4"/>
      <c r="N2516" s="4"/>
      <c r="O2516" s="4"/>
      <c r="P2516" s="4"/>
      <c r="Q2516" s="4"/>
      <c r="R2516" s="4"/>
      <c r="S2516" s="4"/>
      <c r="T2516" s="4"/>
      <c r="U2516" s="4"/>
      <c r="V2516" s="4"/>
      <c r="W2516" s="4"/>
      <c r="X2516" s="4"/>
      <c r="Y2516" s="4"/>
      <c r="Z2516" s="4"/>
      <c r="AA2516" s="4"/>
      <c r="AB2516" s="5"/>
    </row>
    <row r="2517" spans="1:28" x14ac:dyDescent="0.35">
      <c r="A2517" s="3"/>
      <c r="B2517" s="4"/>
      <c r="C2517" s="4"/>
      <c r="D2517" s="4"/>
      <c r="E2517" s="4"/>
      <c r="F2517" s="4"/>
      <c r="G2517" s="4"/>
      <c r="H2517" s="4"/>
      <c r="I2517" s="4"/>
      <c r="J2517" s="4"/>
      <c r="K2517" s="4"/>
      <c r="L2517" s="4"/>
      <c r="M2517" s="4"/>
      <c r="N2517" s="4"/>
      <c r="O2517" s="4"/>
      <c r="P2517" s="4"/>
      <c r="Q2517" s="4"/>
      <c r="R2517" s="4"/>
      <c r="S2517" s="4"/>
      <c r="T2517" s="4"/>
      <c r="U2517" s="4"/>
      <c r="V2517" s="4"/>
      <c r="W2517" s="4"/>
      <c r="X2517" s="4"/>
      <c r="Y2517" s="4"/>
      <c r="Z2517" s="4"/>
      <c r="AA2517" s="4"/>
      <c r="AB2517" s="5"/>
    </row>
    <row r="2518" spans="1:28" x14ac:dyDescent="0.35">
      <c r="A2518" s="3"/>
      <c r="B2518" s="4"/>
      <c r="C2518" s="4"/>
      <c r="D2518" s="4"/>
      <c r="E2518" s="4"/>
      <c r="F2518" s="4"/>
      <c r="G2518" s="4"/>
      <c r="H2518" s="4"/>
      <c r="I2518" s="4"/>
      <c r="J2518" s="4"/>
      <c r="K2518" s="4"/>
      <c r="L2518" s="4"/>
      <c r="M2518" s="4"/>
      <c r="N2518" s="4"/>
      <c r="O2518" s="4"/>
      <c r="P2518" s="4"/>
      <c r="Q2518" s="4"/>
      <c r="R2518" s="4"/>
      <c r="S2518" s="4"/>
      <c r="T2518" s="4"/>
      <c r="U2518" s="4"/>
      <c r="V2518" s="4"/>
      <c r="W2518" s="4"/>
      <c r="X2518" s="4"/>
      <c r="Y2518" s="4"/>
      <c r="Z2518" s="4"/>
      <c r="AA2518" s="4"/>
      <c r="AB2518" s="5"/>
    </row>
    <row r="2519" spans="1:28" x14ac:dyDescent="0.35">
      <c r="A2519" s="3"/>
      <c r="B2519" s="4"/>
      <c r="C2519" s="4"/>
      <c r="D2519" s="4"/>
      <c r="E2519" s="4"/>
      <c r="F2519" s="4"/>
      <c r="G2519" s="4"/>
      <c r="H2519" s="4"/>
      <c r="I2519" s="4"/>
      <c r="J2519" s="4"/>
      <c r="K2519" s="4"/>
      <c r="L2519" s="4"/>
      <c r="M2519" s="4"/>
      <c r="N2519" s="4"/>
      <c r="O2519" s="4"/>
      <c r="P2519" s="4"/>
      <c r="Q2519" s="4"/>
      <c r="R2519" s="4"/>
      <c r="S2519" s="4"/>
      <c r="T2519" s="4"/>
      <c r="U2519" s="4"/>
      <c r="V2519" s="4"/>
      <c r="W2519" s="4"/>
      <c r="X2519" s="4"/>
      <c r="Y2519" s="4"/>
      <c r="Z2519" s="4"/>
      <c r="AA2519" s="4"/>
      <c r="AB2519" s="5"/>
    </row>
    <row r="2520" spans="1:28" x14ac:dyDescent="0.35">
      <c r="A2520" s="3"/>
      <c r="B2520" s="4"/>
      <c r="C2520" s="4"/>
      <c r="D2520" s="4"/>
      <c r="E2520" s="4"/>
      <c r="F2520" s="4"/>
      <c r="G2520" s="4"/>
      <c r="H2520" s="4"/>
      <c r="I2520" s="4"/>
      <c r="J2520" s="4"/>
      <c r="K2520" s="4"/>
      <c r="L2520" s="4"/>
      <c r="M2520" s="4"/>
      <c r="N2520" s="4"/>
      <c r="O2520" s="4"/>
      <c r="P2520" s="4"/>
      <c r="Q2520" s="4"/>
      <c r="R2520" s="4"/>
      <c r="S2520" s="4"/>
      <c r="T2520" s="4"/>
      <c r="U2520" s="4"/>
      <c r="V2520" s="4"/>
      <c r="W2520" s="4"/>
      <c r="X2520" s="4"/>
      <c r="Y2520" s="4"/>
      <c r="Z2520" s="4"/>
      <c r="AA2520" s="4"/>
      <c r="AB2520" s="5"/>
    </row>
    <row r="2521" spans="1:28" x14ac:dyDescent="0.35">
      <c r="A2521" s="3"/>
      <c r="B2521" s="4"/>
      <c r="C2521" s="4"/>
      <c r="D2521" s="4"/>
      <c r="E2521" s="4"/>
      <c r="F2521" s="4"/>
      <c r="G2521" s="4"/>
      <c r="H2521" s="4"/>
      <c r="I2521" s="4"/>
      <c r="J2521" s="4"/>
      <c r="K2521" s="4"/>
      <c r="L2521" s="4"/>
      <c r="M2521" s="4"/>
      <c r="N2521" s="4"/>
      <c r="O2521" s="4"/>
      <c r="P2521" s="4"/>
      <c r="Q2521" s="4"/>
      <c r="R2521" s="4"/>
      <c r="S2521" s="4"/>
      <c r="T2521" s="4"/>
      <c r="U2521" s="4"/>
      <c r="V2521" s="4"/>
      <c r="W2521" s="4"/>
      <c r="X2521" s="4"/>
      <c r="Y2521" s="4"/>
      <c r="Z2521" s="4"/>
      <c r="AA2521" s="4"/>
      <c r="AB2521" s="5"/>
    </row>
    <row r="2522" spans="1:28" x14ac:dyDescent="0.35">
      <c r="A2522" s="3"/>
      <c r="B2522" s="4"/>
      <c r="C2522" s="4"/>
      <c r="D2522" s="4"/>
      <c r="E2522" s="4"/>
      <c r="F2522" s="4"/>
      <c r="G2522" s="4"/>
      <c r="H2522" s="4"/>
      <c r="I2522" s="4"/>
      <c r="J2522" s="4"/>
      <c r="K2522" s="4"/>
      <c r="L2522" s="4"/>
      <c r="M2522" s="4"/>
      <c r="N2522" s="4"/>
      <c r="O2522" s="4"/>
      <c r="P2522" s="4"/>
      <c r="Q2522" s="4"/>
      <c r="R2522" s="4"/>
      <c r="S2522" s="4"/>
      <c r="T2522" s="4"/>
      <c r="U2522" s="4"/>
      <c r="V2522" s="4"/>
      <c r="W2522" s="4"/>
      <c r="X2522" s="4"/>
      <c r="Y2522" s="4"/>
      <c r="Z2522" s="4"/>
      <c r="AA2522" s="4"/>
      <c r="AB2522" s="5"/>
    </row>
    <row r="2523" spans="1:28" x14ac:dyDescent="0.35">
      <c r="A2523" s="3"/>
      <c r="B2523" s="4"/>
      <c r="C2523" s="4"/>
      <c r="D2523" s="4"/>
      <c r="E2523" s="4"/>
      <c r="F2523" s="4"/>
      <c r="G2523" s="4"/>
      <c r="H2523" s="4"/>
      <c r="I2523" s="4"/>
      <c r="J2523" s="4"/>
      <c r="K2523" s="4"/>
      <c r="L2523" s="4"/>
      <c r="M2523" s="4"/>
      <c r="N2523" s="4"/>
      <c r="O2523" s="4"/>
      <c r="P2523" s="4"/>
      <c r="Q2523" s="4"/>
      <c r="R2523" s="4"/>
      <c r="S2523" s="4"/>
      <c r="T2523" s="4"/>
      <c r="U2523" s="4"/>
      <c r="V2523" s="4"/>
      <c r="W2523" s="4"/>
      <c r="X2523" s="4"/>
      <c r="Y2523" s="4"/>
      <c r="Z2523" s="4"/>
      <c r="AA2523" s="4"/>
      <c r="AB2523" s="5"/>
    </row>
    <row r="2524" spans="1:28" x14ac:dyDescent="0.35">
      <c r="A2524" s="3"/>
      <c r="B2524" s="4"/>
      <c r="C2524" s="4"/>
      <c r="D2524" s="4"/>
      <c r="E2524" s="4"/>
      <c r="F2524" s="4"/>
      <c r="G2524" s="4"/>
      <c r="H2524" s="4"/>
      <c r="I2524" s="4"/>
      <c r="J2524" s="4"/>
      <c r="K2524" s="4"/>
      <c r="L2524" s="4"/>
      <c r="M2524" s="4"/>
      <c r="N2524" s="4"/>
      <c r="O2524" s="4"/>
      <c r="P2524" s="4"/>
      <c r="Q2524" s="4"/>
      <c r="R2524" s="4"/>
      <c r="S2524" s="4"/>
      <c r="T2524" s="4"/>
      <c r="U2524" s="4"/>
      <c r="V2524" s="4"/>
      <c r="W2524" s="4"/>
      <c r="X2524" s="4"/>
      <c r="Y2524" s="4"/>
      <c r="Z2524" s="4"/>
      <c r="AA2524" s="4"/>
      <c r="AB2524" s="5"/>
    </row>
    <row r="2525" spans="1:28" x14ac:dyDescent="0.35">
      <c r="A2525" s="3"/>
      <c r="B2525" s="4"/>
      <c r="C2525" s="4"/>
      <c r="D2525" s="4"/>
      <c r="E2525" s="4"/>
      <c r="F2525" s="4"/>
      <c r="G2525" s="4"/>
      <c r="H2525" s="4"/>
      <c r="I2525" s="4"/>
      <c r="J2525" s="4"/>
      <c r="K2525" s="4"/>
      <c r="L2525" s="4"/>
      <c r="M2525" s="4"/>
      <c r="N2525" s="4"/>
      <c r="O2525" s="4"/>
      <c r="P2525" s="4"/>
      <c r="Q2525" s="4"/>
      <c r="R2525" s="4"/>
      <c r="S2525" s="4"/>
      <c r="T2525" s="4"/>
      <c r="U2525" s="4"/>
      <c r="V2525" s="4"/>
      <c r="W2525" s="4"/>
      <c r="X2525" s="4"/>
      <c r="Y2525" s="4"/>
      <c r="Z2525" s="4"/>
      <c r="AA2525" s="4"/>
      <c r="AB2525" s="5"/>
    </row>
    <row r="2526" spans="1:28" x14ac:dyDescent="0.35">
      <c r="A2526" s="3"/>
      <c r="B2526" s="4"/>
      <c r="C2526" s="4"/>
      <c r="D2526" s="4"/>
      <c r="E2526" s="4"/>
      <c r="F2526" s="4"/>
      <c r="G2526" s="4"/>
      <c r="H2526" s="4"/>
      <c r="I2526" s="4"/>
      <c r="J2526" s="4"/>
      <c r="K2526" s="4"/>
      <c r="L2526" s="4"/>
      <c r="M2526" s="4"/>
      <c r="N2526" s="4"/>
      <c r="O2526" s="4"/>
      <c r="P2526" s="4"/>
      <c r="Q2526" s="4"/>
      <c r="R2526" s="4"/>
      <c r="S2526" s="4"/>
      <c r="T2526" s="4"/>
      <c r="U2526" s="4"/>
      <c r="V2526" s="4"/>
      <c r="W2526" s="4"/>
      <c r="X2526" s="4"/>
      <c r="Y2526" s="4"/>
      <c r="Z2526" s="4"/>
      <c r="AA2526" s="4"/>
      <c r="AB2526" s="5"/>
    </row>
    <row r="2527" spans="1:28" x14ac:dyDescent="0.35">
      <c r="A2527" s="3"/>
      <c r="B2527" s="4"/>
      <c r="C2527" s="4"/>
      <c r="D2527" s="4"/>
      <c r="E2527" s="4"/>
      <c r="F2527" s="4"/>
      <c r="G2527" s="4"/>
      <c r="H2527" s="4"/>
      <c r="I2527" s="4"/>
      <c r="J2527" s="4"/>
      <c r="K2527" s="4"/>
      <c r="L2527" s="4"/>
      <c r="M2527" s="4"/>
      <c r="N2527" s="4"/>
      <c r="O2527" s="4"/>
      <c r="P2527" s="4"/>
      <c r="Q2527" s="4"/>
      <c r="R2527" s="4"/>
      <c r="S2527" s="4"/>
      <c r="T2527" s="4"/>
      <c r="U2527" s="4"/>
      <c r="V2527" s="4"/>
      <c r="W2527" s="4"/>
      <c r="X2527" s="4"/>
      <c r="Y2527" s="4"/>
      <c r="Z2527" s="4"/>
      <c r="AA2527" s="4"/>
      <c r="AB2527" s="5"/>
    </row>
    <row r="2528" spans="1:28" x14ac:dyDescent="0.35">
      <c r="A2528" s="3"/>
      <c r="B2528" s="4"/>
      <c r="C2528" s="4"/>
      <c r="D2528" s="4"/>
      <c r="E2528" s="4"/>
      <c r="F2528" s="4"/>
      <c r="G2528" s="4"/>
      <c r="H2528" s="4"/>
      <c r="I2528" s="4"/>
      <c r="J2528" s="4"/>
      <c r="K2528" s="4"/>
      <c r="L2528" s="4"/>
      <c r="M2528" s="4"/>
      <c r="N2528" s="4"/>
      <c r="O2528" s="4"/>
      <c r="P2528" s="4"/>
      <c r="Q2528" s="4"/>
      <c r="R2528" s="4"/>
      <c r="S2528" s="4"/>
      <c r="T2528" s="4"/>
      <c r="U2528" s="4"/>
      <c r="V2528" s="4"/>
      <c r="W2528" s="4"/>
      <c r="X2528" s="4"/>
      <c r="Y2528" s="4"/>
      <c r="Z2528" s="4"/>
      <c r="AA2528" s="4"/>
      <c r="AB2528" s="5"/>
    </row>
    <row r="2529" spans="1:28" x14ac:dyDescent="0.35">
      <c r="A2529" s="3"/>
      <c r="B2529" s="4"/>
      <c r="C2529" s="4"/>
      <c r="D2529" s="4"/>
      <c r="E2529" s="4"/>
      <c r="F2529" s="4"/>
      <c r="G2529" s="4"/>
      <c r="H2529" s="4"/>
      <c r="I2529" s="4"/>
      <c r="J2529" s="4"/>
      <c r="K2529" s="4"/>
      <c r="L2529" s="4"/>
      <c r="M2529" s="4"/>
      <c r="N2529" s="4"/>
      <c r="O2529" s="4"/>
      <c r="P2529" s="4"/>
      <c r="Q2529" s="4"/>
      <c r="R2529" s="4"/>
      <c r="S2529" s="4"/>
      <c r="T2529" s="4"/>
      <c r="U2529" s="4"/>
      <c r="V2529" s="4"/>
      <c r="W2529" s="4"/>
      <c r="X2529" s="4"/>
      <c r="Y2529" s="4"/>
      <c r="Z2529" s="4"/>
      <c r="AA2529" s="4"/>
      <c r="AB2529" s="5"/>
    </row>
    <row r="2530" spans="1:28" x14ac:dyDescent="0.35">
      <c r="A2530" s="3"/>
      <c r="B2530" s="4"/>
      <c r="C2530" s="4"/>
      <c r="D2530" s="4"/>
      <c r="E2530" s="4"/>
      <c r="F2530" s="4"/>
      <c r="G2530" s="4"/>
      <c r="H2530" s="4"/>
      <c r="I2530" s="4"/>
      <c r="J2530" s="4"/>
      <c r="K2530" s="4"/>
      <c r="L2530" s="4"/>
      <c r="M2530" s="4"/>
      <c r="N2530" s="4"/>
      <c r="O2530" s="4"/>
      <c r="P2530" s="4"/>
      <c r="Q2530" s="4"/>
      <c r="R2530" s="4"/>
      <c r="S2530" s="4"/>
      <c r="T2530" s="4"/>
      <c r="U2530" s="4"/>
      <c r="V2530" s="4"/>
      <c r="W2530" s="4"/>
      <c r="X2530" s="4"/>
      <c r="Y2530" s="4"/>
      <c r="Z2530" s="4"/>
      <c r="AA2530" s="4"/>
      <c r="AB2530" s="5"/>
    </row>
    <row r="2531" spans="1:28" x14ac:dyDescent="0.35">
      <c r="A2531" s="3"/>
      <c r="B2531" s="4"/>
      <c r="C2531" s="4"/>
      <c r="D2531" s="4"/>
      <c r="E2531" s="4"/>
      <c r="F2531" s="4"/>
      <c r="G2531" s="4"/>
      <c r="H2531" s="4"/>
      <c r="I2531" s="4"/>
      <c r="J2531" s="4"/>
      <c r="K2531" s="4"/>
      <c r="L2531" s="4"/>
      <c r="M2531" s="4"/>
      <c r="N2531" s="4"/>
      <c r="O2531" s="4"/>
      <c r="P2531" s="4"/>
      <c r="Q2531" s="4"/>
      <c r="R2531" s="4"/>
      <c r="S2531" s="4"/>
      <c r="T2531" s="4"/>
      <c r="U2531" s="4"/>
      <c r="V2531" s="4"/>
      <c r="W2531" s="4"/>
      <c r="X2531" s="4"/>
      <c r="Y2531" s="4"/>
      <c r="Z2531" s="4"/>
      <c r="AA2531" s="4"/>
      <c r="AB2531" s="5"/>
    </row>
    <row r="2532" spans="1:28" x14ac:dyDescent="0.35">
      <c r="A2532" s="3"/>
      <c r="B2532" s="4"/>
      <c r="C2532" s="4"/>
      <c r="D2532" s="4"/>
      <c r="E2532" s="4"/>
      <c r="F2532" s="4"/>
      <c r="G2532" s="4"/>
      <c r="H2532" s="4"/>
      <c r="I2532" s="4"/>
      <c r="J2532" s="4"/>
      <c r="K2532" s="4"/>
      <c r="L2532" s="4"/>
      <c r="M2532" s="4"/>
      <c r="N2532" s="4"/>
      <c r="O2532" s="4"/>
      <c r="P2532" s="4"/>
      <c r="Q2532" s="4"/>
      <c r="R2532" s="4"/>
      <c r="S2532" s="4"/>
      <c r="T2532" s="4"/>
      <c r="U2532" s="4"/>
      <c r="V2532" s="4"/>
      <c r="W2532" s="4"/>
      <c r="X2532" s="4"/>
      <c r="Y2532" s="4"/>
      <c r="Z2532" s="4"/>
      <c r="AA2532" s="4"/>
      <c r="AB2532" s="5"/>
    </row>
    <row r="2533" spans="1:28" x14ac:dyDescent="0.35">
      <c r="A2533" s="3"/>
      <c r="B2533" s="4"/>
      <c r="C2533" s="4"/>
      <c r="D2533" s="4"/>
      <c r="E2533" s="4"/>
      <c r="F2533" s="4"/>
      <c r="G2533" s="4"/>
      <c r="H2533" s="4"/>
      <c r="I2533" s="4"/>
      <c r="J2533" s="4"/>
      <c r="K2533" s="4"/>
      <c r="L2533" s="4"/>
      <c r="M2533" s="4"/>
      <c r="N2533" s="4"/>
      <c r="O2533" s="4"/>
      <c r="P2533" s="4"/>
      <c r="Q2533" s="4"/>
      <c r="R2533" s="4"/>
      <c r="S2533" s="4"/>
      <c r="T2533" s="4"/>
      <c r="U2533" s="4"/>
      <c r="V2533" s="4"/>
      <c r="W2533" s="4"/>
      <c r="X2533" s="4"/>
      <c r="Y2533" s="4"/>
      <c r="Z2533" s="4"/>
      <c r="AA2533" s="4"/>
      <c r="AB2533" s="5"/>
    </row>
    <row r="2534" spans="1:28" x14ac:dyDescent="0.35">
      <c r="A2534" s="3"/>
      <c r="B2534" s="4"/>
      <c r="C2534" s="4"/>
      <c r="D2534" s="4"/>
      <c r="E2534" s="4"/>
      <c r="F2534" s="4"/>
      <c r="G2534" s="4"/>
      <c r="H2534" s="4"/>
      <c r="I2534" s="4"/>
      <c r="J2534" s="4"/>
      <c r="K2534" s="4"/>
      <c r="L2534" s="4"/>
      <c r="M2534" s="4"/>
      <c r="N2534" s="4"/>
      <c r="O2534" s="4"/>
      <c r="P2534" s="4"/>
      <c r="Q2534" s="4"/>
      <c r="R2534" s="4"/>
      <c r="S2534" s="4"/>
      <c r="T2534" s="4"/>
      <c r="U2534" s="4"/>
      <c r="V2534" s="4"/>
      <c r="W2534" s="4"/>
      <c r="X2534" s="4"/>
      <c r="Y2534" s="4"/>
      <c r="Z2534" s="4"/>
      <c r="AA2534" s="4"/>
      <c r="AB2534" s="5"/>
    </row>
    <row r="2535" spans="1:28" x14ac:dyDescent="0.35">
      <c r="A2535" s="3"/>
      <c r="B2535" s="4"/>
      <c r="C2535" s="4"/>
      <c r="D2535" s="4"/>
      <c r="E2535" s="4"/>
      <c r="F2535" s="4"/>
      <c r="G2535" s="4"/>
      <c r="H2535" s="4"/>
      <c r="I2535" s="4"/>
      <c r="J2535" s="4"/>
      <c r="K2535" s="4"/>
      <c r="L2535" s="4"/>
      <c r="M2535" s="4"/>
      <c r="N2535" s="4"/>
      <c r="O2535" s="4"/>
      <c r="P2535" s="4"/>
      <c r="Q2535" s="4"/>
      <c r="R2535" s="4"/>
      <c r="S2535" s="4"/>
      <c r="T2535" s="4"/>
      <c r="U2535" s="4"/>
      <c r="V2535" s="4"/>
      <c r="W2535" s="4"/>
      <c r="X2535" s="4"/>
      <c r="Y2535" s="4"/>
      <c r="Z2535" s="4"/>
      <c r="AA2535" s="4"/>
      <c r="AB2535" s="5"/>
    </row>
    <row r="2536" spans="1:28" x14ac:dyDescent="0.35">
      <c r="A2536" s="3"/>
      <c r="B2536" s="4"/>
      <c r="C2536" s="4"/>
      <c r="D2536" s="4"/>
      <c r="E2536" s="4"/>
      <c r="F2536" s="4"/>
      <c r="G2536" s="4"/>
      <c r="H2536" s="4"/>
      <c r="I2536" s="4"/>
      <c r="J2536" s="4"/>
      <c r="K2536" s="4"/>
      <c r="L2536" s="4"/>
      <c r="M2536" s="4"/>
      <c r="N2536" s="4"/>
      <c r="O2536" s="4"/>
      <c r="P2536" s="4"/>
      <c r="Q2536" s="4"/>
      <c r="R2536" s="4"/>
      <c r="S2536" s="4"/>
      <c r="T2536" s="4"/>
      <c r="U2536" s="4"/>
      <c r="V2536" s="4"/>
      <c r="W2536" s="4"/>
      <c r="X2536" s="4"/>
      <c r="Y2536" s="4"/>
      <c r="Z2536" s="4"/>
      <c r="AA2536" s="4"/>
      <c r="AB2536" s="5"/>
    </row>
    <row r="2537" spans="1:28" x14ac:dyDescent="0.35">
      <c r="A2537" s="3"/>
      <c r="B2537" s="4"/>
      <c r="C2537" s="4"/>
      <c r="D2537" s="4"/>
      <c r="E2537" s="4"/>
      <c r="F2537" s="4"/>
      <c r="G2537" s="4"/>
      <c r="H2537" s="4"/>
      <c r="I2537" s="4"/>
      <c r="J2537" s="4"/>
      <c r="K2537" s="4"/>
      <c r="L2537" s="4"/>
      <c r="M2537" s="4"/>
      <c r="N2537" s="4"/>
      <c r="O2537" s="4"/>
      <c r="P2537" s="4"/>
      <c r="Q2537" s="4"/>
      <c r="R2537" s="4"/>
      <c r="S2537" s="4"/>
      <c r="T2537" s="4"/>
      <c r="U2537" s="4"/>
      <c r="V2537" s="4"/>
      <c r="W2537" s="4"/>
      <c r="X2537" s="4"/>
      <c r="Y2537" s="4"/>
      <c r="Z2537" s="4"/>
      <c r="AA2537" s="4"/>
      <c r="AB2537" s="5"/>
    </row>
    <row r="2538" spans="1:28" x14ac:dyDescent="0.35">
      <c r="A2538" s="3"/>
      <c r="B2538" s="4"/>
      <c r="C2538" s="4"/>
      <c r="D2538" s="4"/>
      <c r="E2538" s="4"/>
      <c r="F2538" s="4"/>
      <c r="G2538" s="4"/>
      <c r="H2538" s="4"/>
      <c r="I2538" s="4"/>
      <c r="J2538" s="4"/>
      <c r="K2538" s="4"/>
      <c r="L2538" s="4"/>
      <c r="M2538" s="4"/>
      <c r="N2538" s="4"/>
      <c r="O2538" s="4"/>
      <c r="P2538" s="4"/>
      <c r="Q2538" s="4"/>
      <c r="R2538" s="4"/>
      <c r="S2538" s="4"/>
      <c r="T2538" s="4"/>
      <c r="U2538" s="4"/>
      <c r="V2538" s="4"/>
      <c r="W2538" s="4"/>
      <c r="X2538" s="4"/>
      <c r="Y2538" s="4"/>
      <c r="Z2538" s="4"/>
      <c r="AA2538" s="4"/>
      <c r="AB2538" s="5"/>
    </row>
    <row r="2539" spans="1:28" x14ac:dyDescent="0.35">
      <c r="A2539" s="3"/>
      <c r="B2539" s="4"/>
      <c r="C2539" s="4"/>
      <c r="D2539" s="4"/>
      <c r="E2539" s="4"/>
      <c r="F2539" s="4"/>
      <c r="G2539" s="4"/>
      <c r="H2539" s="4"/>
      <c r="I2539" s="4"/>
      <c r="J2539" s="4"/>
      <c r="K2539" s="4"/>
      <c r="L2539" s="4"/>
      <c r="M2539" s="4"/>
      <c r="N2539" s="4"/>
      <c r="O2539" s="4"/>
      <c r="P2539" s="4"/>
      <c r="Q2539" s="4"/>
      <c r="R2539" s="4"/>
      <c r="S2539" s="4"/>
      <c r="T2539" s="4"/>
      <c r="U2539" s="4"/>
      <c r="V2539" s="4"/>
      <c r="W2539" s="4"/>
      <c r="X2539" s="4"/>
      <c r="Y2539" s="4"/>
      <c r="Z2539" s="4"/>
      <c r="AA2539" s="4"/>
      <c r="AB2539" s="5"/>
    </row>
    <row r="2540" spans="1:28" x14ac:dyDescent="0.35">
      <c r="A2540" s="3"/>
      <c r="B2540" s="4"/>
      <c r="C2540" s="4"/>
      <c r="D2540" s="4"/>
      <c r="E2540" s="4"/>
      <c r="F2540" s="4"/>
      <c r="G2540" s="4"/>
      <c r="H2540" s="4"/>
      <c r="I2540" s="4"/>
      <c r="J2540" s="4"/>
      <c r="K2540" s="4"/>
      <c r="L2540" s="4"/>
      <c r="M2540" s="4"/>
      <c r="N2540" s="4"/>
      <c r="O2540" s="4"/>
      <c r="P2540" s="4"/>
      <c r="Q2540" s="4"/>
      <c r="R2540" s="4"/>
      <c r="S2540" s="4"/>
      <c r="T2540" s="4"/>
      <c r="U2540" s="4"/>
      <c r="V2540" s="4"/>
      <c r="W2540" s="4"/>
      <c r="X2540" s="4"/>
      <c r="Y2540" s="4"/>
      <c r="Z2540" s="4"/>
      <c r="AA2540" s="4"/>
      <c r="AB2540" s="5"/>
    </row>
    <row r="2541" spans="1:28" x14ac:dyDescent="0.35">
      <c r="A2541" s="3"/>
      <c r="B2541" s="4"/>
      <c r="C2541" s="4"/>
      <c r="D2541" s="4"/>
      <c r="E2541" s="4"/>
      <c r="F2541" s="4"/>
      <c r="G2541" s="4"/>
      <c r="H2541" s="4"/>
      <c r="I2541" s="4"/>
      <c r="J2541" s="4"/>
      <c r="K2541" s="4"/>
      <c r="L2541" s="4"/>
      <c r="M2541" s="4"/>
      <c r="N2541" s="4"/>
      <c r="O2541" s="4"/>
      <c r="P2541" s="4"/>
      <c r="Q2541" s="4"/>
      <c r="R2541" s="4"/>
      <c r="S2541" s="4"/>
      <c r="T2541" s="4"/>
      <c r="U2541" s="4"/>
      <c r="V2541" s="4"/>
      <c r="W2541" s="4"/>
      <c r="X2541" s="4"/>
      <c r="Y2541" s="4"/>
      <c r="Z2541" s="4"/>
      <c r="AA2541" s="4"/>
      <c r="AB2541" s="5"/>
    </row>
    <row r="2542" spans="1:28" x14ac:dyDescent="0.35">
      <c r="A2542" s="3"/>
      <c r="B2542" s="4"/>
      <c r="C2542" s="4"/>
      <c r="D2542" s="4"/>
      <c r="E2542" s="4"/>
      <c r="F2542" s="4"/>
      <c r="G2542" s="4"/>
      <c r="H2542" s="4"/>
      <c r="I2542" s="4"/>
      <c r="J2542" s="4"/>
      <c r="K2542" s="4"/>
      <c r="L2542" s="4"/>
      <c r="M2542" s="4"/>
      <c r="N2542" s="4"/>
      <c r="O2542" s="4"/>
      <c r="P2542" s="4"/>
      <c r="Q2542" s="4"/>
      <c r="R2542" s="4"/>
      <c r="S2542" s="4"/>
      <c r="T2542" s="4"/>
      <c r="U2542" s="4"/>
      <c r="V2542" s="4"/>
      <c r="W2542" s="4"/>
      <c r="X2542" s="4"/>
      <c r="Y2542" s="4"/>
      <c r="Z2542" s="4"/>
      <c r="AA2542" s="4"/>
      <c r="AB2542" s="5"/>
    </row>
    <row r="2543" spans="1:28" x14ac:dyDescent="0.35">
      <c r="A2543" s="3"/>
      <c r="B2543" s="4"/>
      <c r="C2543" s="4"/>
      <c r="D2543" s="4"/>
      <c r="E2543" s="4"/>
      <c r="F2543" s="4"/>
      <c r="G2543" s="4"/>
      <c r="H2543" s="4"/>
      <c r="I2543" s="4"/>
      <c r="J2543" s="4"/>
      <c r="K2543" s="4"/>
      <c r="L2543" s="4"/>
      <c r="M2543" s="4"/>
      <c r="N2543" s="4"/>
      <c r="O2543" s="4"/>
      <c r="P2543" s="4"/>
      <c r="Q2543" s="4"/>
      <c r="R2543" s="4"/>
      <c r="S2543" s="4"/>
      <c r="T2543" s="4"/>
      <c r="U2543" s="4"/>
      <c r="V2543" s="4"/>
      <c r="W2543" s="4"/>
      <c r="X2543" s="4"/>
      <c r="Y2543" s="4"/>
      <c r="Z2543" s="4"/>
      <c r="AA2543" s="4"/>
      <c r="AB2543" s="5"/>
    </row>
    <row r="2544" spans="1:28" x14ac:dyDescent="0.35">
      <c r="A2544" s="3"/>
      <c r="B2544" s="4"/>
      <c r="C2544" s="4"/>
      <c r="D2544" s="4"/>
      <c r="E2544" s="4"/>
      <c r="F2544" s="4"/>
      <c r="G2544" s="4"/>
      <c r="H2544" s="4"/>
      <c r="I2544" s="4"/>
      <c r="J2544" s="4"/>
      <c r="K2544" s="4"/>
      <c r="L2544" s="4"/>
      <c r="M2544" s="4"/>
      <c r="N2544" s="4"/>
      <c r="O2544" s="4"/>
      <c r="P2544" s="4"/>
      <c r="Q2544" s="4"/>
      <c r="R2544" s="4"/>
      <c r="S2544" s="4"/>
      <c r="T2544" s="4"/>
      <c r="U2544" s="4"/>
      <c r="V2544" s="4"/>
      <c r="W2544" s="4"/>
      <c r="X2544" s="4"/>
      <c r="Y2544" s="4"/>
      <c r="Z2544" s="4"/>
      <c r="AA2544" s="4"/>
      <c r="AB2544" s="5"/>
    </row>
    <row r="2545" spans="1:28" x14ac:dyDescent="0.35">
      <c r="A2545" s="3"/>
      <c r="B2545" s="4"/>
      <c r="C2545" s="4"/>
      <c r="D2545" s="4"/>
      <c r="E2545" s="4"/>
      <c r="F2545" s="4"/>
      <c r="G2545" s="4"/>
      <c r="H2545" s="4"/>
      <c r="I2545" s="4"/>
      <c r="J2545" s="4"/>
      <c r="K2545" s="4"/>
      <c r="L2545" s="4"/>
      <c r="M2545" s="4"/>
      <c r="N2545" s="4"/>
      <c r="O2545" s="4"/>
      <c r="P2545" s="4"/>
      <c r="Q2545" s="4"/>
      <c r="R2545" s="4"/>
      <c r="S2545" s="4"/>
      <c r="T2545" s="4"/>
      <c r="U2545" s="4"/>
      <c r="V2545" s="4"/>
      <c r="W2545" s="4"/>
      <c r="X2545" s="4"/>
      <c r="Y2545" s="4"/>
      <c r="Z2545" s="4"/>
      <c r="AA2545" s="4"/>
      <c r="AB2545" s="5"/>
    </row>
    <row r="2546" spans="1:28" x14ac:dyDescent="0.35">
      <c r="A2546" s="3"/>
      <c r="B2546" s="4"/>
      <c r="C2546" s="4"/>
      <c r="D2546" s="4"/>
      <c r="E2546" s="4"/>
      <c r="F2546" s="4"/>
      <c r="G2546" s="4"/>
      <c r="H2546" s="4"/>
      <c r="I2546" s="4"/>
      <c r="J2546" s="4"/>
      <c r="K2546" s="4"/>
      <c r="L2546" s="4"/>
      <c r="M2546" s="4"/>
      <c r="N2546" s="4"/>
      <c r="O2546" s="4"/>
      <c r="P2546" s="4"/>
      <c r="Q2546" s="4"/>
      <c r="R2546" s="4"/>
      <c r="S2546" s="4"/>
      <c r="T2546" s="4"/>
      <c r="U2546" s="4"/>
      <c r="V2546" s="4"/>
      <c r="W2546" s="4"/>
      <c r="X2546" s="4"/>
      <c r="Y2546" s="4"/>
      <c r="Z2546" s="4"/>
      <c r="AA2546" s="4"/>
      <c r="AB2546" s="5"/>
    </row>
    <row r="2547" spans="1:28" x14ac:dyDescent="0.35">
      <c r="A2547" s="3"/>
      <c r="B2547" s="4"/>
      <c r="C2547" s="4"/>
      <c r="D2547" s="4"/>
      <c r="E2547" s="4"/>
      <c r="F2547" s="4"/>
      <c r="G2547" s="4"/>
      <c r="H2547" s="4"/>
      <c r="I2547" s="4"/>
      <c r="J2547" s="4"/>
      <c r="K2547" s="4"/>
      <c r="L2547" s="4"/>
      <c r="M2547" s="4"/>
      <c r="N2547" s="4"/>
      <c r="O2547" s="4"/>
      <c r="P2547" s="4"/>
      <c r="Q2547" s="4"/>
      <c r="R2547" s="4"/>
      <c r="S2547" s="4"/>
      <c r="T2547" s="4"/>
      <c r="U2547" s="4"/>
      <c r="V2547" s="4"/>
      <c r="W2547" s="4"/>
      <c r="X2547" s="4"/>
      <c r="Y2547" s="4"/>
      <c r="Z2547" s="4"/>
      <c r="AA2547" s="4"/>
      <c r="AB2547" s="5"/>
    </row>
    <row r="2548" spans="1:28" x14ac:dyDescent="0.35">
      <c r="A2548" s="3"/>
      <c r="B2548" s="4"/>
      <c r="C2548" s="4"/>
      <c r="D2548" s="4"/>
      <c r="E2548" s="4"/>
      <c r="F2548" s="4"/>
      <c r="G2548" s="4"/>
      <c r="H2548" s="4"/>
      <c r="I2548" s="4"/>
      <c r="J2548" s="4"/>
      <c r="K2548" s="4"/>
      <c r="L2548" s="4"/>
      <c r="M2548" s="4"/>
      <c r="N2548" s="4"/>
      <c r="O2548" s="4"/>
      <c r="P2548" s="4"/>
      <c r="Q2548" s="4"/>
      <c r="R2548" s="4"/>
      <c r="S2548" s="4"/>
      <c r="T2548" s="4"/>
      <c r="U2548" s="4"/>
      <c r="V2548" s="4"/>
      <c r="W2548" s="4"/>
      <c r="X2548" s="4"/>
      <c r="Y2548" s="4"/>
      <c r="Z2548" s="4"/>
      <c r="AA2548" s="4"/>
      <c r="AB2548" s="5"/>
    </row>
    <row r="2549" spans="1:28" x14ac:dyDescent="0.35">
      <c r="A2549" s="3"/>
      <c r="B2549" s="4"/>
      <c r="C2549" s="4"/>
      <c r="D2549" s="4"/>
      <c r="E2549" s="4"/>
      <c r="F2549" s="4"/>
      <c r="G2549" s="4"/>
      <c r="H2549" s="4"/>
      <c r="I2549" s="4"/>
      <c r="J2549" s="4"/>
      <c r="K2549" s="4"/>
      <c r="L2549" s="4"/>
      <c r="M2549" s="4"/>
      <c r="N2549" s="4"/>
      <c r="O2549" s="4"/>
      <c r="P2549" s="4"/>
      <c r="Q2549" s="4"/>
      <c r="R2549" s="4"/>
      <c r="S2549" s="4"/>
      <c r="T2549" s="4"/>
      <c r="U2549" s="4"/>
      <c r="V2549" s="4"/>
      <c r="W2549" s="4"/>
      <c r="X2549" s="4"/>
      <c r="Y2549" s="4"/>
      <c r="Z2549" s="4"/>
      <c r="AA2549" s="4"/>
      <c r="AB2549" s="5"/>
    </row>
    <row r="2550" spans="1:28" x14ac:dyDescent="0.35">
      <c r="A2550" s="3"/>
      <c r="B2550" s="4"/>
      <c r="C2550" s="4"/>
      <c r="D2550" s="4"/>
      <c r="E2550" s="4"/>
      <c r="F2550" s="4"/>
      <c r="G2550" s="4"/>
      <c r="H2550" s="4"/>
      <c r="I2550" s="4"/>
      <c r="J2550" s="4"/>
      <c r="K2550" s="4"/>
      <c r="L2550" s="4"/>
      <c r="M2550" s="4"/>
      <c r="N2550" s="4"/>
      <c r="O2550" s="4"/>
      <c r="P2550" s="4"/>
      <c r="Q2550" s="4"/>
      <c r="R2550" s="4"/>
      <c r="S2550" s="4"/>
      <c r="T2550" s="4"/>
      <c r="U2550" s="4"/>
      <c r="V2550" s="4"/>
      <c r="W2550" s="4"/>
      <c r="X2550" s="4"/>
      <c r="Y2550" s="4"/>
      <c r="Z2550" s="4"/>
      <c r="AA2550" s="4"/>
      <c r="AB2550" s="5"/>
    </row>
    <row r="2551" spans="1:28" x14ac:dyDescent="0.35">
      <c r="A2551" s="3"/>
      <c r="B2551" s="4"/>
      <c r="C2551" s="4"/>
      <c r="D2551" s="4"/>
      <c r="E2551" s="4"/>
      <c r="F2551" s="4"/>
      <c r="G2551" s="4"/>
      <c r="H2551" s="4"/>
      <c r="I2551" s="4"/>
      <c r="J2551" s="4"/>
      <c r="K2551" s="4"/>
      <c r="L2551" s="4"/>
      <c r="M2551" s="4"/>
      <c r="N2551" s="4"/>
      <c r="O2551" s="4"/>
      <c r="P2551" s="4"/>
      <c r="Q2551" s="4"/>
      <c r="R2551" s="4"/>
      <c r="S2551" s="4"/>
      <c r="T2551" s="4"/>
      <c r="U2551" s="4"/>
      <c r="V2551" s="4"/>
      <c r="W2551" s="4"/>
      <c r="X2551" s="4"/>
      <c r="Y2551" s="4"/>
      <c r="Z2551" s="4"/>
      <c r="AA2551" s="4"/>
      <c r="AB2551" s="5"/>
    </row>
    <row r="2552" spans="1:28" x14ac:dyDescent="0.35">
      <c r="A2552" s="3"/>
      <c r="B2552" s="4"/>
      <c r="C2552" s="4"/>
      <c r="D2552" s="4"/>
      <c r="E2552" s="4"/>
      <c r="F2552" s="4"/>
      <c r="G2552" s="4"/>
      <c r="H2552" s="4"/>
      <c r="I2552" s="4"/>
      <c r="J2552" s="4"/>
      <c r="K2552" s="4"/>
      <c r="L2552" s="4"/>
      <c r="M2552" s="4"/>
      <c r="N2552" s="4"/>
      <c r="O2552" s="4"/>
      <c r="P2552" s="4"/>
      <c r="Q2552" s="4"/>
      <c r="R2552" s="4"/>
      <c r="S2552" s="4"/>
      <c r="T2552" s="4"/>
      <c r="U2552" s="4"/>
      <c r="V2552" s="4"/>
      <c r="W2552" s="4"/>
      <c r="X2552" s="4"/>
      <c r="Y2552" s="4"/>
      <c r="Z2552" s="4"/>
      <c r="AA2552" s="4"/>
      <c r="AB2552" s="5"/>
    </row>
    <row r="2553" spans="1:28" x14ac:dyDescent="0.35">
      <c r="A2553" s="3"/>
      <c r="B2553" s="4"/>
      <c r="C2553" s="4"/>
      <c r="D2553" s="4"/>
      <c r="E2553" s="4"/>
      <c r="F2553" s="4"/>
      <c r="G2553" s="4"/>
      <c r="H2553" s="4"/>
      <c r="I2553" s="4"/>
      <c r="J2553" s="4"/>
      <c r="K2553" s="4"/>
      <c r="L2553" s="4"/>
      <c r="M2553" s="4"/>
      <c r="N2553" s="4"/>
      <c r="O2553" s="4"/>
      <c r="P2553" s="4"/>
      <c r="Q2553" s="4"/>
      <c r="R2553" s="4"/>
      <c r="S2553" s="4"/>
      <c r="T2553" s="4"/>
      <c r="U2553" s="4"/>
      <c r="V2553" s="4"/>
      <c r="W2553" s="4"/>
      <c r="X2553" s="4"/>
      <c r="Y2553" s="4"/>
      <c r="Z2553" s="4"/>
      <c r="AA2553" s="4"/>
      <c r="AB2553" s="5"/>
    </row>
    <row r="2554" spans="1:28" x14ac:dyDescent="0.35">
      <c r="A2554" s="3"/>
      <c r="B2554" s="4"/>
      <c r="C2554" s="4"/>
      <c r="D2554" s="4"/>
      <c r="E2554" s="4"/>
      <c r="F2554" s="4"/>
      <c r="G2554" s="4"/>
      <c r="H2554" s="4"/>
      <c r="I2554" s="4"/>
      <c r="J2554" s="4"/>
      <c r="K2554" s="4"/>
      <c r="L2554" s="4"/>
      <c r="M2554" s="4"/>
      <c r="N2554" s="4"/>
      <c r="O2554" s="4"/>
      <c r="P2554" s="4"/>
      <c r="Q2554" s="4"/>
      <c r="R2554" s="4"/>
      <c r="S2554" s="4"/>
      <c r="T2554" s="4"/>
      <c r="U2554" s="4"/>
      <c r="V2554" s="4"/>
      <c r="W2554" s="4"/>
      <c r="X2554" s="4"/>
      <c r="Y2554" s="4"/>
      <c r="Z2554" s="4"/>
      <c r="AA2554" s="4"/>
      <c r="AB2554" s="5"/>
    </row>
    <row r="2555" spans="1:28" x14ac:dyDescent="0.35">
      <c r="A2555" s="3"/>
      <c r="B2555" s="4"/>
      <c r="C2555" s="4"/>
      <c r="D2555" s="4"/>
      <c r="E2555" s="4"/>
      <c r="F2555" s="4"/>
      <c r="G2555" s="4"/>
      <c r="H2555" s="4"/>
      <c r="I2555" s="4"/>
      <c r="J2555" s="4"/>
      <c r="K2555" s="4"/>
      <c r="L2555" s="4"/>
      <c r="M2555" s="4"/>
      <c r="N2555" s="4"/>
      <c r="O2555" s="4"/>
      <c r="P2555" s="4"/>
      <c r="Q2555" s="4"/>
      <c r="R2555" s="4"/>
      <c r="S2555" s="4"/>
      <c r="T2555" s="4"/>
      <c r="U2555" s="4"/>
      <c r="V2555" s="4"/>
      <c r="W2555" s="4"/>
      <c r="X2555" s="4"/>
      <c r="Y2555" s="4"/>
      <c r="Z2555" s="4"/>
      <c r="AA2555" s="4"/>
      <c r="AB2555" s="5"/>
    </row>
    <row r="2556" spans="1:28" x14ac:dyDescent="0.35">
      <c r="A2556" s="3"/>
      <c r="B2556" s="4"/>
      <c r="C2556" s="4"/>
      <c r="D2556" s="4"/>
      <c r="E2556" s="4"/>
      <c r="F2556" s="4"/>
      <c r="G2556" s="4"/>
      <c r="H2556" s="4"/>
      <c r="I2556" s="4"/>
      <c r="J2556" s="4"/>
      <c r="K2556" s="4"/>
      <c r="L2556" s="4"/>
      <c r="M2556" s="4"/>
      <c r="N2556" s="4"/>
      <c r="O2556" s="4"/>
      <c r="P2556" s="4"/>
      <c r="Q2556" s="4"/>
      <c r="R2556" s="4"/>
      <c r="S2556" s="4"/>
      <c r="T2556" s="4"/>
      <c r="U2556" s="4"/>
      <c r="V2556" s="4"/>
      <c r="W2556" s="4"/>
      <c r="X2556" s="4"/>
      <c r="Y2556" s="4"/>
      <c r="Z2556" s="4"/>
      <c r="AA2556" s="4"/>
      <c r="AB2556" s="5"/>
    </row>
    <row r="2557" spans="1:28" x14ac:dyDescent="0.35">
      <c r="A2557" s="3"/>
      <c r="B2557" s="4"/>
      <c r="C2557" s="4"/>
      <c r="D2557" s="4"/>
      <c r="E2557" s="4"/>
      <c r="F2557" s="4"/>
      <c r="G2557" s="4"/>
      <c r="H2557" s="4"/>
      <c r="I2557" s="4"/>
      <c r="J2557" s="4"/>
      <c r="K2557" s="4"/>
      <c r="L2557" s="4"/>
      <c r="M2557" s="4"/>
      <c r="N2557" s="4"/>
      <c r="O2557" s="4"/>
      <c r="P2557" s="4"/>
      <c r="Q2557" s="4"/>
      <c r="R2557" s="4"/>
      <c r="S2557" s="4"/>
      <c r="T2557" s="4"/>
      <c r="U2557" s="4"/>
      <c r="V2557" s="4"/>
      <c r="W2557" s="4"/>
      <c r="X2557" s="4"/>
      <c r="Y2557" s="4"/>
      <c r="Z2557" s="4"/>
      <c r="AA2557" s="4"/>
      <c r="AB2557" s="5"/>
    </row>
    <row r="2558" spans="1:28" x14ac:dyDescent="0.35">
      <c r="A2558" s="3"/>
      <c r="B2558" s="4"/>
      <c r="C2558" s="4"/>
      <c r="D2558" s="4"/>
      <c r="E2558" s="4"/>
      <c r="F2558" s="4"/>
      <c r="G2558" s="4"/>
      <c r="H2558" s="4"/>
      <c r="I2558" s="4"/>
      <c r="J2558" s="4"/>
      <c r="K2558" s="4"/>
      <c r="L2558" s="4"/>
      <c r="M2558" s="4"/>
      <c r="N2558" s="4"/>
      <c r="O2558" s="4"/>
      <c r="P2558" s="4"/>
      <c r="Q2558" s="4"/>
      <c r="R2558" s="4"/>
      <c r="S2558" s="4"/>
      <c r="T2558" s="4"/>
      <c r="U2558" s="4"/>
      <c r="V2558" s="4"/>
      <c r="W2558" s="4"/>
      <c r="X2558" s="4"/>
      <c r="Y2558" s="4"/>
      <c r="Z2558" s="4"/>
      <c r="AA2558" s="4"/>
      <c r="AB2558" s="5"/>
    </row>
    <row r="2559" spans="1:28" x14ac:dyDescent="0.35">
      <c r="A2559" s="3"/>
      <c r="B2559" s="4"/>
      <c r="C2559" s="4"/>
      <c r="D2559" s="4"/>
      <c r="E2559" s="4"/>
      <c r="F2559" s="4"/>
      <c r="G2559" s="4"/>
      <c r="H2559" s="4"/>
      <c r="I2559" s="4"/>
      <c r="J2559" s="4"/>
      <c r="K2559" s="4"/>
      <c r="L2559" s="4"/>
      <c r="M2559" s="4"/>
      <c r="N2559" s="4"/>
      <c r="O2559" s="4"/>
      <c r="P2559" s="4"/>
      <c r="Q2559" s="4"/>
      <c r="R2559" s="4"/>
      <c r="S2559" s="4"/>
      <c r="T2559" s="4"/>
      <c r="U2559" s="4"/>
      <c r="V2559" s="4"/>
      <c r="W2559" s="4"/>
      <c r="X2559" s="4"/>
      <c r="Y2559" s="4"/>
      <c r="Z2559" s="4"/>
      <c r="AA2559" s="4"/>
      <c r="AB2559" s="5"/>
    </row>
    <row r="2560" spans="1:28" x14ac:dyDescent="0.35">
      <c r="A2560" s="3"/>
      <c r="B2560" s="4"/>
      <c r="C2560" s="4"/>
      <c r="D2560" s="4"/>
      <c r="E2560" s="4"/>
      <c r="F2560" s="4"/>
      <c r="G2560" s="4"/>
      <c r="H2560" s="4"/>
      <c r="I2560" s="4"/>
      <c r="J2560" s="4"/>
      <c r="K2560" s="4"/>
      <c r="L2560" s="4"/>
      <c r="M2560" s="4"/>
      <c r="N2560" s="4"/>
      <c r="O2560" s="4"/>
      <c r="P2560" s="4"/>
      <c r="Q2560" s="4"/>
      <c r="R2560" s="4"/>
      <c r="S2560" s="4"/>
      <c r="T2560" s="4"/>
      <c r="U2560" s="4"/>
      <c r="V2560" s="4"/>
      <c r="W2560" s="4"/>
      <c r="X2560" s="4"/>
      <c r="Y2560" s="4"/>
      <c r="Z2560" s="4"/>
      <c r="AA2560" s="4"/>
      <c r="AB2560" s="5"/>
    </row>
    <row r="2561" spans="1:28" x14ac:dyDescent="0.35">
      <c r="A2561" s="3"/>
      <c r="B2561" s="4"/>
      <c r="C2561" s="4"/>
      <c r="D2561" s="4"/>
      <c r="E2561" s="4"/>
      <c r="F2561" s="4"/>
      <c r="G2561" s="4"/>
      <c r="H2561" s="4"/>
      <c r="I2561" s="4"/>
      <c r="J2561" s="4"/>
      <c r="K2561" s="4"/>
      <c r="L2561" s="4"/>
      <c r="M2561" s="4"/>
      <c r="N2561" s="4"/>
      <c r="O2561" s="4"/>
      <c r="P2561" s="4"/>
      <c r="Q2561" s="4"/>
      <c r="R2561" s="4"/>
      <c r="S2561" s="4"/>
      <c r="T2561" s="4"/>
      <c r="U2561" s="4"/>
      <c r="V2561" s="4"/>
      <c r="W2561" s="4"/>
      <c r="X2561" s="4"/>
      <c r="Y2561" s="4"/>
      <c r="Z2561" s="4"/>
      <c r="AA2561" s="4"/>
      <c r="AB2561" s="5"/>
    </row>
    <row r="2562" spans="1:28" x14ac:dyDescent="0.35">
      <c r="A2562" s="3"/>
      <c r="B2562" s="4"/>
      <c r="C2562" s="4"/>
      <c r="D2562" s="4"/>
      <c r="E2562" s="4"/>
      <c r="F2562" s="4"/>
      <c r="G2562" s="4"/>
      <c r="H2562" s="4"/>
      <c r="I2562" s="4"/>
      <c r="J2562" s="4"/>
      <c r="K2562" s="4"/>
      <c r="L2562" s="4"/>
      <c r="M2562" s="4"/>
      <c r="N2562" s="4"/>
      <c r="O2562" s="4"/>
      <c r="P2562" s="4"/>
      <c r="Q2562" s="4"/>
      <c r="R2562" s="4"/>
      <c r="S2562" s="4"/>
      <c r="T2562" s="4"/>
      <c r="U2562" s="4"/>
      <c r="V2562" s="4"/>
      <c r="W2562" s="4"/>
      <c r="X2562" s="4"/>
      <c r="Y2562" s="4"/>
      <c r="Z2562" s="4"/>
      <c r="AA2562" s="4"/>
      <c r="AB2562" s="5"/>
    </row>
    <row r="2563" spans="1:28" x14ac:dyDescent="0.35">
      <c r="A2563" s="3"/>
      <c r="B2563" s="4"/>
      <c r="C2563" s="4"/>
      <c r="D2563" s="4"/>
      <c r="E2563" s="4"/>
      <c r="F2563" s="4"/>
      <c r="G2563" s="4"/>
      <c r="H2563" s="4"/>
      <c r="I2563" s="4"/>
      <c r="J2563" s="4"/>
      <c r="K2563" s="4"/>
      <c r="L2563" s="4"/>
      <c r="M2563" s="4"/>
      <c r="N2563" s="4"/>
      <c r="O2563" s="4"/>
      <c r="P2563" s="4"/>
      <c r="Q2563" s="4"/>
      <c r="R2563" s="4"/>
      <c r="S2563" s="4"/>
      <c r="T2563" s="4"/>
      <c r="U2563" s="4"/>
      <c r="V2563" s="4"/>
      <c r="W2563" s="4"/>
      <c r="X2563" s="4"/>
      <c r="Y2563" s="4"/>
      <c r="Z2563" s="4"/>
      <c r="AA2563" s="4"/>
      <c r="AB2563" s="5"/>
    </row>
    <row r="2564" spans="1:28" x14ac:dyDescent="0.35">
      <c r="A2564" s="3"/>
      <c r="B2564" s="4"/>
      <c r="C2564" s="4"/>
      <c r="D2564" s="4"/>
      <c r="E2564" s="4"/>
      <c r="F2564" s="4"/>
      <c r="G2564" s="4"/>
      <c r="H2564" s="4"/>
      <c r="I2564" s="4"/>
      <c r="J2564" s="4"/>
      <c r="K2564" s="4"/>
      <c r="L2564" s="4"/>
      <c r="M2564" s="4"/>
      <c r="N2564" s="4"/>
      <c r="O2564" s="4"/>
      <c r="P2564" s="4"/>
      <c r="Q2564" s="4"/>
      <c r="R2564" s="4"/>
      <c r="S2564" s="4"/>
      <c r="T2564" s="4"/>
      <c r="U2564" s="4"/>
      <c r="V2564" s="4"/>
      <c r="W2564" s="4"/>
      <c r="X2564" s="4"/>
      <c r="Y2564" s="4"/>
      <c r="Z2564" s="4"/>
      <c r="AA2564" s="4"/>
      <c r="AB2564" s="5"/>
    </row>
    <row r="2565" spans="1:28" x14ac:dyDescent="0.35">
      <c r="A2565" s="3"/>
      <c r="B2565" s="4"/>
      <c r="C2565" s="4"/>
      <c r="D2565" s="4"/>
      <c r="E2565" s="4"/>
      <c r="F2565" s="4"/>
      <c r="G2565" s="4"/>
      <c r="H2565" s="4"/>
      <c r="I2565" s="4"/>
      <c r="J2565" s="4"/>
      <c r="K2565" s="4"/>
      <c r="L2565" s="4"/>
      <c r="M2565" s="4"/>
      <c r="N2565" s="4"/>
      <c r="O2565" s="4"/>
      <c r="P2565" s="4"/>
      <c r="Q2565" s="4"/>
      <c r="R2565" s="4"/>
      <c r="S2565" s="4"/>
      <c r="T2565" s="4"/>
      <c r="U2565" s="4"/>
      <c r="V2565" s="4"/>
      <c r="W2565" s="4"/>
      <c r="X2565" s="4"/>
      <c r="Y2565" s="4"/>
      <c r="Z2565" s="4"/>
      <c r="AA2565" s="4"/>
      <c r="AB2565" s="5"/>
    </row>
    <row r="2566" spans="1:28" x14ac:dyDescent="0.35">
      <c r="A2566" s="3"/>
      <c r="B2566" s="4"/>
      <c r="C2566" s="4"/>
      <c r="D2566" s="4"/>
      <c r="E2566" s="4"/>
      <c r="F2566" s="4"/>
      <c r="G2566" s="4"/>
      <c r="H2566" s="4"/>
      <c r="I2566" s="4"/>
      <c r="J2566" s="4"/>
      <c r="K2566" s="4"/>
      <c r="L2566" s="4"/>
      <c r="M2566" s="4"/>
      <c r="N2566" s="4"/>
      <c r="O2566" s="4"/>
      <c r="P2566" s="4"/>
      <c r="Q2566" s="4"/>
      <c r="R2566" s="4"/>
      <c r="S2566" s="4"/>
      <c r="T2566" s="4"/>
      <c r="U2566" s="4"/>
      <c r="V2566" s="4"/>
      <c r="W2566" s="4"/>
      <c r="X2566" s="4"/>
      <c r="Y2566" s="4"/>
      <c r="Z2566" s="4"/>
      <c r="AA2566" s="4"/>
      <c r="AB2566" s="5"/>
    </row>
    <row r="2567" spans="1:28" x14ac:dyDescent="0.35">
      <c r="A2567" s="3"/>
      <c r="B2567" s="4"/>
      <c r="C2567" s="4"/>
      <c r="D2567" s="4"/>
      <c r="E2567" s="4"/>
      <c r="F2567" s="4"/>
      <c r="G2567" s="4"/>
      <c r="H2567" s="4"/>
      <c r="I2567" s="4"/>
      <c r="J2567" s="4"/>
      <c r="K2567" s="4"/>
      <c r="L2567" s="4"/>
      <c r="M2567" s="4"/>
      <c r="N2567" s="4"/>
      <c r="O2567" s="4"/>
      <c r="P2567" s="4"/>
      <c r="Q2567" s="4"/>
      <c r="R2567" s="4"/>
      <c r="S2567" s="4"/>
      <c r="T2567" s="4"/>
      <c r="U2567" s="4"/>
      <c r="V2567" s="4"/>
      <c r="W2567" s="4"/>
      <c r="X2567" s="4"/>
      <c r="Y2567" s="4"/>
      <c r="Z2567" s="4"/>
      <c r="AA2567" s="4"/>
      <c r="AB2567" s="5"/>
    </row>
    <row r="2568" spans="1:28" x14ac:dyDescent="0.35">
      <c r="A2568" s="3"/>
      <c r="B2568" s="4"/>
      <c r="C2568" s="4"/>
      <c r="D2568" s="4"/>
      <c r="E2568" s="4"/>
      <c r="F2568" s="4"/>
      <c r="G2568" s="4"/>
      <c r="H2568" s="4"/>
      <c r="I2568" s="4"/>
      <c r="J2568" s="4"/>
      <c r="K2568" s="4"/>
      <c r="L2568" s="4"/>
      <c r="M2568" s="4"/>
      <c r="N2568" s="4"/>
      <c r="O2568" s="4"/>
      <c r="P2568" s="4"/>
      <c r="Q2568" s="4"/>
      <c r="R2568" s="4"/>
      <c r="S2568" s="4"/>
      <c r="T2568" s="4"/>
      <c r="U2568" s="4"/>
      <c r="V2568" s="4"/>
      <c r="W2568" s="4"/>
      <c r="X2568" s="4"/>
      <c r="Y2568" s="4"/>
      <c r="Z2568" s="4"/>
      <c r="AA2568" s="4"/>
      <c r="AB2568" s="5"/>
    </row>
    <row r="2569" spans="1:28" x14ac:dyDescent="0.35">
      <c r="A2569" s="3"/>
      <c r="B2569" s="4"/>
      <c r="C2569" s="4"/>
      <c r="D2569" s="4"/>
      <c r="E2569" s="4"/>
      <c r="F2569" s="4"/>
      <c r="G2569" s="4"/>
      <c r="H2569" s="4"/>
      <c r="I2569" s="4"/>
      <c r="J2569" s="4"/>
      <c r="K2569" s="4"/>
      <c r="L2569" s="4"/>
      <c r="M2569" s="4"/>
      <c r="N2569" s="4"/>
      <c r="O2569" s="4"/>
      <c r="P2569" s="4"/>
      <c r="Q2569" s="4"/>
      <c r="R2569" s="4"/>
      <c r="S2569" s="4"/>
      <c r="T2569" s="4"/>
      <c r="U2569" s="4"/>
      <c r="V2569" s="4"/>
      <c r="W2569" s="4"/>
      <c r="X2569" s="4"/>
      <c r="Y2569" s="4"/>
      <c r="Z2569" s="4"/>
      <c r="AA2569" s="4"/>
      <c r="AB2569" s="5"/>
    </row>
    <row r="2570" spans="1:28" x14ac:dyDescent="0.35">
      <c r="A2570" s="3"/>
      <c r="B2570" s="4"/>
      <c r="C2570" s="4"/>
      <c r="D2570" s="4"/>
      <c r="E2570" s="4"/>
      <c r="F2570" s="4"/>
      <c r="G2570" s="4"/>
      <c r="H2570" s="4"/>
      <c r="I2570" s="4"/>
      <c r="J2570" s="4"/>
      <c r="K2570" s="4"/>
      <c r="L2570" s="4"/>
      <c r="M2570" s="4"/>
      <c r="N2570" s="4"/>
      <c r="O2570" s="4"/>
      <c r="P2570" s="4"/>
      <c r="Q2570" s="4"/>
      <c r="R2570" s="4"/>
      <c r="S2570" s="4"/>
      <c r="T2570" s="4"/>
      <c r="U2570" s="4"/>
      <c r="V2570" s="4"/>
      <c r="W2570" s="4"/>
      <c r="X2570" s="4"/>
      <c r="Y2570" s="4"/>
      <c r="Z2570" s="4"/>
      <c r="AA2570" s="4"/>
      <c r="AB2570" s="5"/>
    </row>
    <row r="2571" spans="1:28" x14ac:dyDescent="0.35">
      <c r="A2571" s="3"/>
      <c r="B2571" s="4"/>
      <c r="C2571" s="4"/>
      <c r="D2571" s="4"/>
      <c r="E2571" s="4"/>
      <c r="F2571" s="4"/>
      <c r="G2571" s="4"/>
      <c r="H2571" s="4"/>
      <c r="I2571" s="4"/>
      <c r="J2571" s="4"/>
      <c r="K2571" s="4"/>
      <c r="L2571" s="4"/>
      <c r="M2571" s="4"/>
      <c r="N2571" s="4"/>
      <c r="O2571" s="4"/>
      <c r="P2571" s="4"/>
      <c r="Q2571" s="4"/>
      <c r="R2571" s="4"/>
      <c r="S2571" s="4"/>
      <c r="T2571" s="4"/>
      <c r="U2571" s="4"/>
      <c r="V2571" s="4"/>
      <c r="W2571" s="4"/>
      <c r="X2571" s="4"/>
      <c r="Y2571" s="4"/>
      <c r="Z2571" s="4"/>
      <c r="AA2571" s="4"/>
      <c r="AB2571" s="5"/>
    </row>
    <row r="2572" spans="1:28" x14ac:dyDescent="0.35">
      <c r="A2572" s="3"/>
      <c r="B2572" s="4"/>
      <c r="C2572" s="4"/>
      <c r="D2572" s="4"/>
      <c r="E2572" s="4"/>
      <c r="F2572" s="4"/>
      <c r="G2572" s="4"/>
      <c r="H2572" s="4"/>
      <c r="I2572" s="4"/>
      <c r="J2572" s="4"/>
      <c r="K2572" s="4"/>
      <c r="L2572" s="4"/>
      <c r="M2572" s="4"/>
      <c r="N2572" s="4"/>
      <c r="O2572" s="4"/>
      <c r="P2572" s="4"/>
      <c r="Q2572" s="4"/>
      <c r="R2572" s="4"/>
      <c r="S2572" s="4"/>
      <c r="T2572" s="4"/>
      <c r="U2572" s="4"/>
      <c r="V2572" s="4"/>
      <c r="W2572" s="4"/>
      <c r="X2572" s="4"/>
      <c r="Y2572" s="4"/>
      <c r="Z2572" s="4"/>
      <c r="AA2572" s="4"/>
      <c r="AB2572" s="5"/>
    </row>
    <row r="2573" spans="1:28" x14ac:dyDescent="0.35">
      <c r="A2573" s="3"/>
      <c r="B2573" s="4"/>
      <c r="C2573" s="4"/>
      <c r="D2573" s="4"/>
      <c r="E2573" s="4"/>
      <c r="F2573" s="4"/>
      <c r="G2573" s="4"/>
      <c r="H2573" s="4"/>
      <c r="I2573" s="4"/>
      <c r="J2573" s="4"/>
      <c r="K2573" s="4"/>
      <c r="L2573" s="4"/>
      <c r="M2573" s="4"/>
      <c r="N2573" s="4"/>
      <c r="O2573" s="4"/>
      <c r="P2573" s="4"/>
      <c r="Q2573" s="4"/>
      <c r="R2573" s="4"/>
      <c r="S2573" s="4"/>
      <c r="T2573" s="4"/>
      <c r="U2573" s="4"/>
      <c r="V2573" s="4"/>
      <c r="W2573" s="4"/>
      <c r="X2573" s="4"/>
      <c r="Y2573" s="4"/>
      <c r="Z2573" s="4"/>
      <c r="AA2573" s="4"/>
      <c r="AB2573" s="5"/>
    </row>
    <row r="2574" spans="1:28" x14ac:dyDescent="0.35">
      <c r="A2574" s="3"/>
      <c r="B2574" s="4"/>
      <c r="C2574" s="4"/>
      <c r="D2574" s="4"/>
      <c r="E2574" s="4"/>
      <c r="F2574" s="4"/>
      <c r="G2574" s="4"/>
      <c r="H2574" s="4"/>
      <c r="I2574" s="4"/>
      <c r="J2574" s="4"/>
      <c r="K2574" s="4"/>
      <c r="L2574" s="4"/>
      <c r="M2574" s="4"/>
      <c r="N2574" s="4"/>
      <c r="O2574" s="4"/>
      <c r="P2574" s="4"/>
      <c r="Q2574" s="4"/>
      <c r="R2574" s="4"/>
      <c r="S2574" s="4"/>
      <c r="T2574" s="4"/>
      <c r="U2574" s="4"/>
      <c r="V2574" s="4"/>
      <c r="W2574" s="4"/>
      <c r="X2574" s="4"/>
      <c r="Y2574" s="4"/>
      <c r="Z2574" s="4"/>
      <c r="AA2574" s="4"/>
      <c r="AB2574" s="5"/>
    </row>
    <row r="2575" spans="1:28" x14ac:dyDescent="0.35">
      <c r="A2575" s="3"/>
      <c r="B2575" s="4"/>
      <c r="C2575" s="4"/>
      <c r="D2575" s="4"/>
      <c r="E2575" s="4"/>
      <c r="F2575" s="4"/>
      <c r="G2575" s="4"/>
      <c r="H2575" s="4"/>
      <c r="I2575" s="4"/>
      <c r="J2575" s="4"/>
      <c r="K2575" s="4"/>
      <c r="L2575" s="4"/>
      <c r="M2575" s="4"/>
      <c r="N2575" s="4"/>
      <c r="O2575" s="4"/>
      <c r="P2575" s="4"/>
      <c r="Q2575" s="4"/>
      <c r="R2575" s="4"/>
      <c r="S2575" s="4"/>
      <c r="T2575" s="4"/>
      <c r="U2575" s="4"/>
      <c r="V2575" s="4"/>
      <c r="W2575" s="4"/>
      <c r="X2575" s="4"/>
      <c r="Y2575" s="4"/>
      <c r="Z2575" s="4"/>
      <c r="AA2575" s="4"/>
      <c r="AB2575" s="5"/>
    </row>
    <row r="2576" spans="1:28" x14ac:dyDescent="0.35">
      <c r="A2576" s="3"/>
      <c r="B2576" s="4"/>
      <c r="C2576" s="4"/>
      <c r="D2576" s="4"/>
      <c r="E2576" s="4"/>
      <c r="F2576" s="4"/>
      <c r="G2576" s="4"/>
      <c r="H2576" s="4"/>
      <c r="I2576" s="4"/>
      <c r="J2576" s="4"/>
      <c r="K2576" s="4"/>
      <c r="L2576" s="4"/>
      <c r="M2576" s="4"/>
      <c r="N2576" s="4"/>
      <c r="O2576" s="4"/>
      <c r="P2576" s="4"/>
      <c r="Q2576" s="4"/>
      <c r="R2576" s="4"/>
      <c r="S2576" s="4"/>
      <c r="T2576" s="4"/>
      <c r="U2576" s="4"/>
      <c r="V2576" s="4"/>
      <c r="W2576" s="4"/>
      <c r="X2576" s="4"/>
      <c r="Y2576" s="4"/>
      <c r="Z2576" s="4"/>
      <c r="AA2576" s="4"/>
      <c r="AB2576" s="5"/>
    </row>
    <row r="2577" spans="1:28" x14ac:dyDescent="0.35">
      <c r="A2577" s="3"/>
      <c r="B2577" s="4"/>
      <c r="C2577" s="4"/>
      <c r="D2577" s="4"/>
      <c r="E2577" s="4"/>
      <c r="F2577" s="4"/>
      <c r="G2577" s="4"/>
      <c r="H2577" s="4"/>
      <c r="I2577" s="4"/>
      <c r="J2577" s="4"/>
      <c r="K2577" s="4"/>
      <c r="L2577" s="4"/>
      <c r="M2577" s="4"/>
      <c r="N2577" s="4"/>
      <c r="O2577" s="4"/>
      <c r="P2577" s="4"/>
      <c r="Q2577" s="4"/>
      <c r="R2577" s="4"/>
      <c r="S2577" s="4"/>
      <c r="T2577" s="4"/>
      <c r="U2577" s="4"/>
      <c r="V2577" s="4"/>
      <c r="W2577" s="4"/>
      <c r="X2577" s="4"/>
      <c r="Y2577" s="4"/>
      <c r="Z2577" s="4"/>
      <c r="AA2577" s="4"/>
      <c r="AB2577" s="5"/>
    </row>
    <row r="2578" spans="1:28" x14ac:dyDescent="0.35">
      <c r="A2578" s="3"/>
      <c r="B2578" s="4"/>
      <c r="C2578" s="4"/>
      <c r="D2578" s="4"/>
      <c r="E2578" s="4"/>
      <c r="F2578" s="4"/>
      <c r="G2578" s="4"/>
      <c r="H2578" s="4"/>
      <c r="I2578" s="4"/>
      <c r="J2578" s="4"/>
      <c r="K2578" s="4"/>
      <c r="L2578" s="4"/>
      <c r="M2578" s="4"/>
      <c r="N2578" s="4"/>
      <c r="O2578" s="4"/>
      <c r="P2578" s="4"/>
      <c r="Q2578" s="4"/>
      <c r="R2578" s="4"/>
      <c r="S2578" s="4"/>
      <c r="T2578" s="4"/>
      <c r="U2578" s="4"/>
      <c r="V2578" s="4"/>
      <c r="W2578" s="4"/>
      <c r="X2578" s="4"/>
      <c r="Y2578" s="4"/>
      <c r="Z2578" s="4"/>
      <c r="AA2578" s="4"/>
      <c r="AB2578" s="5"/>
    </row>
    <row r="2579" spans="1:28" x14ac:dyDescent="0.35">
      <c r="A2579" s="3"/>
      <c r="B2579" s="4"/>
      <c r="C2579" s="4"/>
      <c r="D2579" s="4"/>
      <c r="E2579" s="4"/>
      <c r="F2579" s="4"/>
      <c r="G2579" s="4"/>
      <c r="H2579" s="4"/>
      <c r="I2579" s="4"/>
      <c r="J2579" s="4"/>
      <c r="K2579" s="4"/>
      <c r="L2579" s="4"/>
      <c r="M2579" s="4"/>
      <c r="N2579" s="4"/>
      <c r="O2579" s="4"/>
      <c r="P2579" s="4"/>
      <c r="Q2579" s="4"/>
      <c r="R2579" s="4"/>
      <c r="S2579" s="4"/>
      <c r="T2579" s="4"/>
      <c r="U2579" s="4"/>
      <c r="V2579" s="4"/>
      <c r="W2579" s="4"/>
      <c r="X2579" s="4"/>
      <c r="Y2579" s="4"/>
      <c r="Z2579" s="4"/>
      <c r="AA2579" s="4"/>
      <c r="AB2579" s="5"/>
    </row>
    <row r="2580" spans="1:28" x14ac:dyDescent="0.35">
      <c r="A2580" s="3"/>
      <c r="B2580" s="4"/>
      <c r="C2580" s="4"/>
      <c r="D2580" s="4"/>
      <c r="E2580" s="4"/>
      <c r="F2580" s="4"/>
      <c r="G2580" s="4"/>
      <c r="H2580" s="4"/>
      <c r="I2580" s="4"/>
      <c r="J2580" s="4"/>
      <c r="K2580" s="4"/>
      <c r="L2580" s="4"/>
      <c r="M2580" s="4"/>
      <c r="N2580" s="4"/>
      <c r="O2580" s="4"/>
      <c r="P2580" s="4"/>
      <c r="Q2580" s="4"/>
      <c r="R2580" s="4"/>
      <c r="S2580" s="4"/>
      <c r="T2580" s="4"/>
      <c r="U2580" s="4"/>
      <c r="V2580" s="4"/>
      <c r="W2580" s="4"/>
      <c r="X2580" s="4"/>
      <c r="Y2580" s="4"/>
      <c r="Z2580" s="4"/>
      <c r="AA2580" s="4"/>
      <c r="AB2580" s="5"/>
    </row>
    <row r="2581" spans="1:28" x14ac:dyDescent="0.35">
      <c r="A2581" s="3"/>
      <c r="B2581" s="4"/>
      <c r="C2581" s="4"/>
      <c r="D2581" s="4"/>
      <c r="E2581" s="4"/>
      <c r="F2581" s="4"/>
      <c r="G2581" s="4"/>
      <c r="H2581" s="4"/>
      <c r="I2581" s="4"/>
      <c r="J2581" s="4"/>
      <c r="K2581" s="4"/>
      <c r="L2581" s="4"/>
      <c r="M2581" s="4"/>
      <c r="N2581" s="4"/>
      <c r="O2581" s="4"/>
      <c r="P2581" s="4"/>
      <c r="Q2581" s="4"/>
      <c r="R2581" s="4"/>
      <c r="S2581" s="4"/>
      <c r="T2581" s="4"/>
      <c r="U2581" s="4"/>
      <c r="V2581" s="4"/>
      <c r="W2581" s="4"/>
      <c r="X2581" s="4"/>
      <c r="Y2581" s="4"/>
      <c r="Z2581" s="4"/>
      <c r="AA2581" s="4"/>
      <c r="AB2581" s="5"/>
    </row>
    <row r="2582" spans="1:28" x14ac:dyDescent="0.35">
      <c r="A2582" s="3"/>
      <c r="B2582" s="4"/>
      <c r="C2582" s="4"/>
      <c r="D2582" s="4"/>
      <c r="E2582" s="4"/>
      <c r="F2582" s="4"/>
      <c r="G2582" s="4"/>
      <c r="H2582" s="4"/>
      <c r="I2582" s="4"/>
      <c r="J2582" s="4"/>
      <c r="K2582" s="4"/>
      <c r="L2582" s="4"/>
      <c r="M2582" s="4"/>
      <c r="N2582" s="4"/>
      <c r="O2582" s="4"/>
      <c r="P2582" s="4"/>
      <c r="Q2582" s="4"/>
      <c r="R2582" s="4"/>
      <c r="S2582" s="4"/>
      <c r="T2582" s="4"/>
      <c r="U2582" s="4"/>
      <c r="V2582" s="4"/>
      <c r="W2582" s="4"/>
      <c r="X2582" s="4"/>
      <c r="Y2582" s="4"/>
      <c r="Z2582" s="4"/>
      <c r="AA2582" s="4"/>
      <c r="AB2582" s="5"/>
    </row>
    <row r="2583" spans="1:28" x14ac:dyDescent="0.35">
      <c r="A2583" s="3"/>
      <c r="B2583" s="4"/>
      <c r="C2583" s="4"/>
      <c r="D2583" s="4"/>
      <c r="E2583" s="4"/>
      <c r="F2583" s="4"/>
      <c r="G2583" s="4"/>
      <c r="H2583" s="4"/>
      <c r="I2583" s="4"/>
      <c r="J2583" s="4"/>
      <c r="K2583" s="4"/>
      <c r="L2583" s="4"/>
      <c r="M2583" s="4"/>
      <c r="N2583" s="4"/>
      <c r="O2583" s="4"/>
      <c r="P2583" s="4"/>
      <c r="Q2583" s="4"/>
      <c r="R2583" s="4"/>
      <c r="S2583" s="4"/>
      <c r="T2583" s="4"/>
      <c r="U2583" s="4"/>
      <c r="V2583" s="4"/>
      <c r="W2583" s="4"/>
      <c r="X2583" s="4"/>
      <c r="Y2583" s="4"/>
      <c r="Z2583" s="4"/>
      <c r="AA2583" s="4"/>
      <c r="AB2583" s="5"/>
    </row>
    <row r="2584" spans="1:28" x14ac:dyDescent="0.35">
      <c r="A2584" s="3"/>
      <c r="B2584" s="4"/>
      <c r="C2584" s="4"/>
      <c r="D2584" s="4"/>
      <c r="E2584" s="4"/>
      <c r="F2584" s="4"/>
      <c r="G2584" s="4"/>
      <c r="H2584" s="4"/>
      <c r="I2584" s="4"/>
      <c r="J2584" s="4"/>
      <c r="K2584" s="4"/>
      <c r="L2584" s="4"/>
      <c r="M2584" s="4"/>
      <c r="N2584" s="4"/>
      <c r="O2584" s="4"/>
      <c r="P2584" s="4"/>
      <c r="Q2584" s="4"/>
      <c r="R2584" s="4"/>
      <c r="S2584" s="4"/>
      <c r="T2584" s="4"/>
      <c r="U2584" s="4"/>
      <c r="V2584" s="4"/>
      <c r="W2584" s="4"/>
      <c r="X2584" s="4"/>
      <c r="Y2584" s="4"/>
      <c r="Z2584" s="4"/>
      <c r="AA2584" s="4"/>
      <c r="AB2584" s="5"/>
    </row>
    <row r="2585" spans="1:28" x14ac:dyDescent="0.35">
      <c r="A2585" s="3"/>
      <c r="B2585" s="4"/>
      <c r="C2585" s="4"/>
      <c r="D2585" s="4"/>
      <c r="E2585" s="4"/>
      <c r="F2585" s="4"/>
      <c r="G2585" s="4"/>
      <c r="H2585" s="4"/>
      <c r="I2585" s="4"/>
      <c r="J2585" s="4"/>
      <c r="K2585" s="4"/>
      <c r="L2585" s="4"/>
      <c r="M2585" s="4"/>
      <c r="N2585" s="4"/>
      <c r="O2585" s="4"/>
      <c r="P2585" s="4"/>
      <c r="Q2585" s="4"/>
      <c r="R2585" s="4"/>
      <c r="S2585" s="4"/>
      <c r="T2585" s="4"/>
      <c r="U2585" s="4"/>
      <c r="V2585" s="4"/>
      <c r="W2585" s="4"/>
      <c r="X2585" s="4"/>
      <c r="Y2585" s="4"/>
      <c r="Z2585" s="4"/>
      <c r="AA2585" s="4"/>
      <c r="AB2585" s="5"/>
    </row>
    <row r="2586" spans="1:28" x14ac:dyDescent="0.35">
      <c r="A2586" s="3"/>
      <c r="B2586" s="4"/>
      <c r="C2586" s="4"/>
      <c r="D2586" s="4"/>
      <c r="E2586" s="4"/>
      <c r="F2586" s="4"/>
      <c r="G2586" s="4"/>
      <c r="H2586" s="4"/>
      <c r="I2586" s="4"/>
      <c r="J2586" s="4"/>
      <c r="K2586" s="4"/>
      <c r="L2586" s="4"/>
      <c r="M2586" s="4"/>
      <c r="N2586" s="4"/>
      <c r="O2586" s="4"/>
      <c r="P2586" s="4"/>
      <c r="Q2586" s="4"/>
      <c r="R2586" s="4"/>
      <c r="S2586" s="4"/>
      <c r="T2586" s="4"/>
      <c r="U2586" s="4"/>
      <c r="V2586" s="4"/>
      <c r="W2586" s="4"/>
      <c r="X2586" s="4"/>
      <c r="Y2586" s="4"/>
      <c r="Z2586" s="4"/>
      <c r="AA2586" s="4"/>
      <c r="AB2586" s="5"/>
    </row>
    <row r="2587" spans="1:28" x14ac:dyDescent="0.35">
      <c r="A2587" s="3"/>
      <c r="B2587" s="4"/>
      <c r="C2587" s="4"/>
      <c r="D2587" s="4"/>
      <c r="E2587" s="4"/>
      <c r="F2587" s="4"/>
      <c r="G2587" s="4"/>
      <c r="H2587" s="4"/>
      <c r="I2587" s="4"/>
      <c r="J2587" s="4"/>
      <c r="K2587" s="4"/>
      <c r="L2587" s="4"/>
      <c r="M2587" s="4"/>
      <c r="N2587" s="4"/>
      <c r="O2587" s="4"/>
      <c r="P2587" s="4"/>
      <c r="Q2587" s="4"/>
      <c r="R2587" s="4"/>
      <c r="S2587" s="4"/>
      <c r="T2587" s="4"/>
      <c r="U2587" s="4"/>
      <c r="V2587" s="4"/>
      <c r="W2587" s="4"/>
      <c r="X2587" s="4"/>
      <c r="Y2587" s="4"/>
      <c r="Z2587" s="4"/>
      <c r="AA2587" s="4"/>
      <c r="AB2587" s="5"/>
    </row>
    <row r="2588" spans="1:28" x14ac:dyDescent="0.35">
      <c r="A2588" s="3"/>
      <c r="B2588" s="4"/>
      <c r="C2588" s="4"/>
      <c r="D2588" s="4"/>
      <c r="E2588" s="4"/>
      <c r="F2588" s="4"/>
      <c r="G2588" s="4"/>
      <c r="H2588" s="4"/>
      <c r="I2588" s="4"/>
      <c r="J2588" s="4"/>
      <c r="K2588" s="4"/>
      <c r="L2588" s="4"/>
      <c r="M2588" s="4"/>
      <c r="N2588" s="4"/>
      <c r="O2588" s="4"/>
      <c r="P2588" s="4"/>
      <c r="Q2588" s="4"/>
      <c r="R2588" s="4"/>
      <c r="S2588" s="4"/>
      <c r="T2588" s="4"/>
      <c r="U2588" s="4"/>
      <c r="V2588" s="4"/>
      <c r="W2588" s="4"/>
      <c r="X2588" s="4"/>
      <c r="Y2588" s="4"/>
      <c r="Z2588" s="4"/>
      <c r="AA2588" s="4"/>
      <c r="AB2588" s="5"/>
    </row>
    <row r="2589" spans="1:28" x14ac:dyDescent="0.35">
      <c r="A2589" s="3"/>
      <c r="B2589" s="4"/>
      <c r="C2589" s="4"/>
      <c r="D2589" s="4"/>
      <c r="E2589" s="4"/>
      <c r="F2589" s="4"/>
      <c r="G2589" s="4"/>
      <c r="H2589" s="4"/>
      <c r="I2589" s="4"/>
      <c r="J2589" s="4"/>
      <c r="K2589" s="4"/>
      <c r="L2589" s="4"/>
      <c r="M2589" s="4"/>
      <c r="N2589" s="4"/>
      <c r="O2589" s="4"/>
      <c r="P2589" s="4"/>
      <c r="Q2589" s="4"/>
      <c r="R2589" s="4"/>
      <c r="S2589" s="4"/>
      <c r="T2589" s="4"/>
      <c r="U2589" s="4"/>
      <c r="V2589" s="4"/>
      <c r="W2589" s="4"/>
      <c r="X2589" s="4"/>
      <c r="Y2589" s="4"/>
      <c r="Z2589" s="4"/>
      <c r="AA2589" s="4"/>
      <c r="AB2589" s="5"/>
    </row>
    <row r="2590" spans="1:28" x14ac:dyDescent="0.35">
      <c r="A2590" s="3"/>
      <c r="B2590" s="4"/>
      <c r="C2590" s="4"/>
      <c r="D2590" s="4"/>
      <c r="E2590" s="4"/>
      <c r="F2590" s="4"/>
      <c r="G2590" s="4"/>
      <c r="H2590" s="4"/>
      <c r="I2590" s="4"/>
      <c r="J2590" s="4"/>
      <c r="K2590" s="4"/>
      <c r="L2590" s="4"/>
      <c r="M2590" s="4"/>
      <c r="N2590" s="4"/>
      <c r="O2590" s="4"/>
      <c r="P2590" s="4"/>
      <c r="Q2590" s="4"/>
      <c r="R2590" s="4"/>
      <c r="S2590" s="4"/>
      <c r="T2590" s="4"/>
      <c r="U2590" s="4"/>
      <c r="V2590" s="4"/>
      <c r="W2590" s="4"/>
      <c r="X2590" s="4"/>
      <c r="Y2590" s="4"/>
      <c r="Z2590" s="4"/>
      <c r="AA2590" s="4"/>
      <c r="AB2590" s="5"/>
    </row>
    <row r="2591" spans="1:28" x14ac:dyDescent="0.35">
      <c r="A2591" s="3"/>
      <c r="B2591" s="4"/>
      <c r="C2591" s="4"/>
      <c r="D2591" s="4"/>
      <c r="E2591" s="4"/>
      <c r="F2591" s="4"/>
      <c r="G2591" s="4"/>
      <c r="H2591" s="4"/>
      <c r="I2591" s="4"/>
      <c r="J2591" s="4"/>
      <c r="K2591" s="4"/>
      <c r="L2591" s="4"/>
      <c r="M2591" s="4"/>
      <c r="N2591" s="4"/>
      <c r="O2591" s="4"/>
      <c r="P2591" s="4"/>
      <c r="Q2591" s="4"/>
      <c r="R2591" s="4"/>
      <c r="S2591" s="4"/>
      <c r="T2591" s="4"/>
      <c r="U2591" s="4"/>
      <c r="V2591" s="4"/>
      <c r="W2591" s="4"/>
      <c r="X2591" s="4"/>
      <c r="Y2591" s="4"/>
      <c r="Z2591" s="4"/>
      <c r="AA2591" s="4"/>
      <c r="AB2591" s="5"/>
    </row>
    <row r="2592" spans="1:28" x14ac:dyDescent="0.35">
      <c r="A2592" s="3"/>
      <c r="B2592" s="4"/>
      <c r="C2592" s="4"/>
      <c r="D2592" s="4"/>
      <c r="E2592" s="4"/>
      <c r="F2592" s="4"/>
      <c r="G2592" s="4"/>
      <c r="H2592" s="4"/>
      <c r="I2592" s="4"/>
      <c r="J2592" s="4"/>
      <c r="K2592" s="4"/>
      <c r="L2592" s="4"/>
      <c r="M2592" s="4"/>
      <c r="N2592" s="4"/>
      <c r="O2592" s="4"/>
      <c r="P2592" s="4"/>
      <c r="Q2592" s="4"/>
      <c r="R2592" s="4"/>
      <c r="S2592" s="4"/>
      <c r="T2592" s="4"/>
      <c r="U2592" s="4"/>
      <c r="V2592" s="4"/>
      <c r="W2592" s="4"/>
      <c r="X2592" s="4"/>
      <c r="Y2592" s="4"/>
      <c r="Z2592" s="4"/>
      <c r="AA2592" s="4"/>
      <c r="AB2592" s="5"/>
    </row>
    <row r="2593" spans="1:28" x14ac:dyDescent="0.35">
      <c r="A2593" s="3"/>
      <c r="B2593" s="4"/>
      <c r="C2593" s="4"/>
      <c r="D2593" s="4"/>
      <c r="E2593" s="4"/>
      <c r="F2593" s="4"/>
      <c r="G2593" s="4"/>
      <c r="H2593" s="4"/>
      <c r="I2593" s="4"/>
      <c r="J2593" s="4"/>
      <c r="K2593" s="4"/>
      <c r="L2593" s="4"/>
      <c r="M2593" s="4"/>
      <c r="N2593" s="4"/>
      <c r="O2593" s="4"/>
      <c r="P2593" s="4"/>
      <c r="Q2593" s="4"/>
      <c r="R2593" s="4"/>
      <c r="S2593" s="4"/>
      <c r="T2593" s="4"/>
      <c r="U2593" s="4"/>
      <c r="V2593" s="4"/>
      <c r="W2593" s="4"/>
      <c r="X2593" s="4"/>
      <c r="Y2593" s="4"/>
      <c r="Z2593" s="4"/>
      <c r="AA2593" s="4"/>
      <c r="AB2593" s="5"/>
    </row>
    <row r="2594" spans="1:28" x14ac:dyDescent="0.35">
      <c r="A2594" s="3"/>
      <c r="B2594" s="4"/>
      <c r="C2594" s="4"/>
      <c r="D2594" s="4"/>
      <c r="E2594" s="4"/>
      <c r="F2594" s="4"/>
      <c r="G2594" s="4"/>
      <c r="H2594" s="4"/>
      <c r="I2594" s="4"/>
      <c r="J2594" s="4"/>
      <c r="K2594" s="4"/>
      <c r="L2594" s="4"/>
      <c r="M2594" s="4"/>
      <c r="N2594" s="4"/>
      <c r="O2594" s="4"/>
      <c r="P2594" s="4"/>
      <c r="Q2594" s="4"/>
      <c r="R2594" s="4"/>
      <c r="S2594" s="4"/>
      <c r="T2594" s="4"/>
      <c r="U2594" s="4"/>
      <c r="V2594" s="4"/>
      <c r="W2594" s="4"/>
      <c r="X2594" s="4"/>
      <c r="Y2594" s="4"/>
      <c r="Z2594" s="4"/>
      <c r="AA2594" s="4"/>
      <c r="AB2594" s="5"/>
    </row>
    <row r="2595" spans="1:28" x14ac:dyDescent="0.35">
      <c r="A2595" s="3"/>
      <c r="B2595" s="4"/>
      <c r="C2595" s="4"/>
      <c r="D2595" s="4"/>
      <c r="E2595" s="4"/>
      <c r="F2595" s="4"/>
      <c r="G2595" s="4"/>
      <c r="H2595" s="4"/>
      <c r="I2595" s="4"/>
      <c r="J2595" s="4"/>
      <c r="K2595" s="4"/>
      <c r="L2595" s="4"/>
      <c r="M2595" s="4"/>
      <c r="N2595" s="4"/>
      <c r="O2595" s="4"/>
      <c r="P2595" s="4"/>
      <c r="Q2595" s="4"/>
      <c r="R2595" s="4"/>
      <c r="S2595" s="4"/>
      <c r="T2595" s="4"/>
      <c r="U2595" s="4"/>
      <c r="V2595" s="4"/>
      <c r="W2595" s="4"/>
      <c r="X2595" s="4"/>
      <c r="Y2595" s="4"/>
      <c r="Z2595" s="4"/>
      <c r="AA2595" s="4"/>
      <c r="AB2595" s="5"/>
    </row>
    <row r="2596" spans="1:28" x14ac:dyDescent="0.35">
      <c r="A2596" s="3"/>
      <c r="B2596" s="4"/>
      <c r="C2596" s="4"/>
      <c r="D2596" s="4"/>
      <c r="E2596" s="4"/>
      <c r="F2596" s="4"/>
      <c r="G2596" s="4"/>
      <c r="H2596" s="4"/>
      <c r="I2596" s="4"/>
      <c r="J2596" s="4"/>
      <c r="K2596" s="4"/>
      <c r="L2596" s="4"/>
      <c r="M2596" s="4"/>
      <c r="N2596" s="4"/>
      <c r="O2596" s="4"/>
      <c r="P2596" s="4"/>
      <c r="Q2596" s="4"/>
      <c r="R2596" s="4"/>
      <c r="S2596" s="4"/>
      <c r="T2596" s="4"/>
      <c r="U2596" s="4"/>
      <c r="V2596" s="4"/>
      <c r="W2596" s="4"/>
      <c r="X2596" s="4"/>
      <c r="Y2596" s="4"/>
      <c r="Z2596" s="4"/>
      <c r="AA2596" s="4"/>
      <c r="AB2596" s="5"/>
    </row>
    <row r="2597" spans="1:28" x14ac:dyDescent="0.35">
      <c r="A2597" s="3"/>
      <c r="B2597" s="4"/>
      <c r="C2597" s="4"/>
      <c r="D2597" s="4"/>
      <c r="E2597" s="4"/>
      <c r="F2597" s="4"/>
      <c r="G2597" s="4"/>
      <c r="H2597" s="4"/>
      <c r="I2597" s="4"/>
      <c r="J2597" s="4"/>
      <c r="K2597" s="4"/>
      <c r="L2597" s="4"/>
      <c r="M2597" s="4"/>
      <c r="N2597" s="4"/>
      <c r="O2597" s="4"/>
      <c r="P2597" s="4"/>
      <c r="Q2597" s="4"/>
      <c r="R2597" s="4"/>
      <c r="S2597" s="4"/>
      <c r="T2597" s="4"/>
      <c r="U2597" s="4"/>
      <c r="V2597" s="4"/>
      <c r="W2597" s="4"/>
      <c r="X2597" s="4"/>
      <c r="Y2597" s="4"/>
      <c r="Z2597" s="4"/>
      <c r="AA2597" s="4"/>
      <c r="AB2597" s="5"/>
    </row>
    <row r="2598" spans="1:28" x14ac:dyDescent="0.35">
      <c r="A2598" s="3"/>
      <c r="B2598" s="4"/>
      <c r="C2598" s="4"/>
      <c r="D2598" s="4"/>
      <c r="E2598" s="4"/>
      <c r="F2598" s="4"/>
      <c r="G2598" s="4"/>
      <c r="H2598" s="4"/>
      <c r="I2598" s="4"/>
      <c r="J2598" s="4"/>
      <c r="K2598" s="4"/>
      <c r="L2598" s="4"/>
      <c r="M2598" s="4"/>
      <c r="N2598" s="4"/>
      <c r="O2598" s="4"/>
      <c r="P2598" s="4"/>
      <c r="Q2598" s="4"/>
      <c r="R2598" s="4"/>
      <c r="S2598" s="4"/>
      <c r="T2598" s="4"/>
      <c r="U2598" s="4"/>
      <c r="V2598" s="4"/>
      <c r="W2598" s="4"/>
      <c r="X2598" s="4"/>
      <c r="Y2598" s="4"/>
      <c r="Z2598" s="4"/>
      <c r="AA2598" s="4"/>
      <c r="AB2598" s="5"/>
    </row>
    <row r="2599" spans="1:28" x14ac:dyDescent="0.35">
      <c r="A2599" s="3"/>
      <c r="B2599" s="4"/>
      <c r="C2599" s="4"/>
      <c r="D2599" s="4"/>
      <c r="E2599" s="4"/>
      <c r="F2599" s="4"/>
      <c r="G2599" s="4"/>
      <c r="H2599" s="4"/>
      <c r="I2599" s="4"/>
      <c r="J2599" s="4"/>
      <c r="K2599" s="4"/>
      <c r="L2599" s="4"/>
      <c r="M2599" s="4"/>
      <c r="N2599" s="4"/>
      <c r="O2599" s="4"/>
      <c r="P2599" s="4"/>
      <c r="Q2599" s="4"/>
      <c r="R2599" s="4"/>
      <c r="S2599" s="4"/>
      <c r="T2599" s="4"/>
      <c r="U2599" s="4"/>
      <c r="V2599" s="4"/>
      <c r="W2599" s="4"/>
      <c r="X2599" s="4"/>
      <c r="Y2599" s="4"/>
      <c r="Z2599" s="4"/>
      <c r="AA2599" s="4"/>
      <c r="AB2599" s="5"/>
    </row>
    <row r="2600" spans="1:28" x14ac:dyDescent="0.35">
      <c r="A2600" s="3"/>
      <c r="B2600" s="4"/>
      <c r="C2600" s="4"/>
      <c r="D2600" s="4"/>
      <c r="E2600" s="4"/>
      <c r="F2600" s="4"/>
      <c r="G2600" s="4"/>
      <c r="H2600" s="4"/>
      <c r="I2600" s="4"/>
      <c r="J2600" s="4"/>
      <c r="K2600" s="4"/>
      <c r="L2600" s="4"/>
      <c r="M2600" s="4"/>
      <c r="N2600" s="4"/>
      <c r="O2600" s="4"/>
      <c r="P2600" s="4"/>
      <c r="Q2600" s="4"/>
      <c r="R2600" s="4"/>
      <c r="S2600" s="4"/>
      <c r="T2600" s="4"/>
      <c r="U2600" s="4"/>
      <c r="V2600" s="4"/>
      <c r="W2600" s="4"/>
      <c r="X2600" s="4"/>
      <c r="Y2600" s="4"/>
      <c r="Z2600" s="4"/>
      <c r="AA2600" s="4"/>
      <c r="AB2600" s="5"/>
    </row>
    <row r="2601" spans="1:28" x14ac:dyDescent="0.35">
      <c r="A2601" s="3"/>
      <c r="B2601" s="4"/>
      <c r="C2601" s="4"/>
      <c r="D2601" s="4"/>
      <c r="E2601" s="4"/>
      <c r="F2601" s="4"/>
      <c r="G2601" s="4"/>
      <c r="H2601" s="4"/>
      <c r="I2601" s="4"/>
      <c r="J2601" s="4"/>
      <c r="K2601" s="4"/>
      <c r="L2601" s="4"/>
      <c r="M2601" s="4"/>
      <c r="N2601" s="4"/>
      <c r="O2601" s="4"/>
      <c r="P2601" s="4"/>
      <c r="Q2601" s="4"/>
      <c r="R2601" s="4"/>
      <c r="S2601" s="4"/>
      <c r="T2601" s="4"/>
      <c r="U2601" s="4"/>
      <c r="V2601" s="4"/>
      <c r="W2601" s="4"/>
      <c r="X2601" s="4"/>
      <c r="Y2601" s="4"/>
      <c r="Z2601" s="4"/>
      <c r="AA2601" s="4"/>
      <c r="AB2601" s="5"/>
    </row>
    <row r="2602" spans="1:28" x14ac:dyDescent="0.35">
      <c r="A2602" s="3"/>
      <c r="B2602" s="4"/>
      <c r="C2602" s="4"/>
      <c r="D2602" s="4"/>
      <c r="E2602" s="4"/>
      <c r="F2602" s="4"/>
      <c r="G2602" s="4"/>
      <c r="H2602" s="4"/>
      <c r="I2602" s="4"/>
      <c r="J2602" s="4"/>
      <c r="K2602" s="4"/>
      <c r="L2602" s="4"/>
      <c r="M2602" s="4"/>
      <c r="N2602" s="4"/>
      <c r="O2602" s="4"/>
      <c r="P2602" s="4"/>
      <c r="Q2602" s="4"/>
      <c r="R2602" s="4"/>
      <c r="S2602" s="4"/>
      <c r="T2602" s="4"/>
      <c r="U2602" s="4"/>
      <c r="V2602" s="4"/>
      <c r="W2602" s="4"/>
      <c r="X2602" s="4"/>
      <c r="Y2602" s="4"/>
      <c r="Z2602" s="4"/>
      <c r="AA2602" s="4"/>
      <c r="AB2602" s="5"/>
    </row>
    <row r="2603" spans="1:28" x14ac:dyDescent="0.35">
      <c r="A2603" s="3"/>
      <c r="B2603" s="4"/>
      <c r="C2603" s="4"/>
      <c r="D2603" s="4"/>
      <c r="E2603" s="4"/>
      <c r="F2603" s="4"/>
      <c r="G2603" s="4"/>
      <c r="H2603" s="4"/>
      <c r="I2603" s="4"/>
      <c r="J2603" s="4"/>
      <c r="K2603" s="4"/>
      <c r="L2603" s="4"/>
      <c r="M2603" s="4"/>
      <c r="N2603" s="4"/>
      <c r="O2603" s="4"/>
      <c r="P2603" s="4"/>
      <c r="Q2603" s="4"/>
      <c r="R2603" s="4"/>
      <c r="S2603" s="4"/>
      <c r="T2603" s="4"/>
      <c r="U2603" s="4"/>
      <c r="V2603" s="4"/>
      <c r="W2603" s="4"/>
      <c r="X2603" s="4"/>
      <c r="Y2603" s="4"/>
      <c r="Z2603" s="4"/>
      <c r="AA2603" s="4"/>
      <c r="AB2603" s="5"/>
    </row>
    <row r="2604" spans="1:28" x14ac:dyDescent="0.35">
      <c r="A2604" s="3"/>
      <c r="B2604" s="4"/>
      <c r="C2604" s="4"/>
      <c r="D2604" s="4"/>
      <c r="E2604" s="4"/>
      <c r="F2604" s="4"/>
      <c r="G2604" s="4"/>
      <c r="H2604" s="4"/>
      <c r="I2604" s="4"/>
      <c r="J2604" s="4"/>
      <c r="K2604" s="4"/>
      <c r="L2604" s="4"/>
      <c r="M2604" s="4"/>
      <c r="N2604" s="4"/>
      <c r="O2604" s="4"/>
      <c r="P2604" s="4"/>
      <c r="Q2604" s="4"/>
      <c r="R2604" s="4"/>
      <c r="S2604" s="4"/>
      <c r="T2604" s="4"/>
      <c r="U2604" s="4"/>
      <c r="V2604" s="4"/>
      <c r="W2604" s="4"/>
      <c r="X2604" s="4"/>
      <c r="Y2604" s="4"/>
      <c r="Z2604" s="4"/>
      <c r="AA2604" s="4"/>
      <c r="AB2604" s="5"/>
    </row>
    <row r="2605" spans="1:28" x14ac:dyDescent="0.35">
      <c r="A2605" s="3"/>
      <c r="B2605" s="4"/>
      <c r="C2605" s="4"/>
      <c r="D2605" s="4"/>
      <c r="E2605" s="4"/>
      <c r="F2605" s="4"/>
      <c r="G2605" s="4"/>
      <c r="H2605" s="4"/>
      <c r="I2605" s="4"/>
      <c r="J2605" s="4"/>
      <c r="K2605" s="4"/>
      <c r="L2605" s="4"/>
      <c r="M2605" s="4"/>
      <c r="N2605" s="4"/>
      <c r="O2605" s="4"/>
      <c r="P2605" s="4"/>
      <c r="Q2605" s="4"/>
      <c r="R2605" s="4"/>
      <c r="S2605" s="4"/>
      <c r="T2605" s="4"/>
      <c r="U2605" s="4"/>
      <c r="V2605" s="4"/>
      <c r="W2605" s="4"/>
      <c r="X2605" s="4"/>
      <c r="Y2605" s="4"/>
      <c r="Z2605" s="4"/>
      <c r="AA2605" s="4"/>
      <c r="AB2605" s="5"/>
    </row>
    <row r="2606" spans="1:28" x14ac:dyDescent="0.35">
      <c r="A2606" s="3"/>
      <c r="B2606" s="4"/>
      <c r="C2606" s="4"/>
      <c r="D2606" s="4"/>
      <c r="E2606" s="4"/>
      <c r="F2606" s="4"/>
      <c r="G2606" s="4"/>
      <c r="H2606" s="4"/>
      <c r="I2606" s="4"/>
      <c r="J2606" s="4"/>
      <c r="K2606" s="4"/>
      <c r="L2606" s="4"/>
      <c r="M2606" s="4"/>
      <c r="N2606" s="4"/>
      <c r="O2606" s="4"/>
      <c r="P2606" s="4"/>
      <c r="Q2606" s="4"/>
      <c r="R2606" s="4"/>
      <c r="S2606" s="4"/>
      <c r="T2606" s="4"/>
      <c r="U2606" s="4"/>
      <c r="V2606" s="4"/>
      <c r="W2606" s="4"/>
      <c r="X2606" s="4"/>
      <c r="Y2606" s="4"/>
      <c r="Z2606" s="4"/>
      <c r="AA2606" s="4"/>
      <c r="AB2606" s="5"/>
    </row>
    <row r="2607" spans="1:28" x14ac:dyDescent="0.35">
      <c r="A2607" s="3"/>
      <c r="B2607" s="4"/>
      <c r="C2607" s="4"/>
      <c r="D2607" s="4"/>
      <c r="E2607" s="4"/>
      <c r="F2607" s="4"/>
      <c r="G2607" s="4"/>
      <c r="H2607" s="4"/>
      <c r="I2607" s="4"/>
      <c r="J2607" s="4"/>
      <c r="K2607" s="4"/>
      <c r="L2607" s="4"/>
      <c r="M2607" s="4"/>
      <c r="N2607" s="4"/>
      <c r="O2607" s="4"/>
      <c r="P2607" s="4"/>
      <c r="Q2607" s="4"/>
      <c r="R2607" s="4"/>
      <c r="S2607" s="4"/>
      <c r="T2607" s="4"/>
      <c r="U2607" s="4"/>
      <c r="V2607" s="4"/>
      <c r="W2607" s="4"/>
      <c r="X2607" s="4"/>
      <c r="Y2607" s="4"/>
      <c r="Z2607" s="4"/>
      <c r="AA2607" s="4"/>
      <c r="AB2607" s="5"/>
    </row>
    <row r="2608" spans="1:28" x14ac:dyDescent="0.35">
      <c r="A2608" s="3"/>
      <c r="B2608" s="4"/>
      <c r="C2608" s="4"/>
      <c r="D2608" s="4"/>
      <c r="E2608" s="4"/>
      <c r="F2608" s="4"/>
      <c r="G2608" s="4"/>
      <c r="H2608" s="4"/>
      <c r="I2608" s="4"/>
      <c r="J2608" s="4"/>
      <c r="K2608" s="4"/>
      <c r="L2608" s="4"/>
      <c r="M2608" s="4"/>
      <c r="N2608" s="4"/>
      <c r="O2608" s="4"/>
      <c r="P2608" s="4"/>
      <c r="Q2608" s="4"/>
      <c r="R2608" s="4"/>
      <c r="S2608" s="4"/>
      <c r="T2608" s="4"/>
      <c r="U2608" s="4"/>
      <c r="V2608" s="4"/>
      <c r="W2608" s="4"/>
      <c r="X2608" s="4"/>
      <c r="Y2608" s="4"/>
      <c r="Z2608" s="4"/>
      <c r="AA2608" s="4"/>
      <c r="AB2608" s="5"/>
    </row>
    <row r="2609" spans="1:28" x14ac:dyDescent="0.35">
      <c r="A2609" s="3"/>
      <c r="B2609" s="4"/>
      <c r="C2609" s="4"/>
      <c r="D2609" s="4"/>
      <c r="E2609" s="4"/>
      <c r="F2609" s="4"/>
      <c r="G2609" s="4"/>
      <c r="H2609" s="4"/>
      <c r="I2609" s="4"/>
      <c r="J2609" s="4"/>
      <c r="K2609" s="4"/>
      <c r="L2609" s="4"/>
      <c r="M2609" s="4"/>
      <c r="N2609" s="4"/>
      <c r="O2609" s="4"/>
      <c r="P2609" s="4"/>
      <c r="Q2609" s="4"/>
      <c r="R2609" s="4"/>
      <c r="S2609" s="4"/>
      <c r="T2609" s="4"/>
      <c r="U2609" s="4"/>
      <c r="V2609" s="4"/>
      <c r="W2609" s="4"/>
      <c r="X2609" s="4"/>
      <c r="Y2609" s="4"/>
      <c r="Z2609" s="4"/>
      <c r="AA2609" s="4"/>
      <c r="AB2609" s="5"/>
    </row>
    <row r="2610" spans="1:28" x14ac:dyDescent="0.35">
      <c r="A2610" s="3"/>
      <c r="B2610" s="4"/>
      <c r="C2610" s="4"/>
      <c r="D2610" s="4"/>
      <c r="E2610" s="4"/>
      <c r="F2610" s="4"/>
      <c r="G2610" s="4"/>
      <c r="H2610" s="4"/>
      <c r="I2610" s="4"/>
      <c r="J2610" s="4"/>
      <c r="K2610" s="4"/>
      <c r="L2610" s="4"/>
      <c r="M2610" s="4"/>
      <c r="N2610" s="4"/>
      <c r="O2610" s="4"/>
      <c r="P2610" s="4"/>
      <c r="Q2610" s="4"/>
      <c r="R2610" s="4"/>
      <c r="S2610" s="4"/>
      <c r="T2610" s="4"/>
      <c r="U2610" s="4"/>
      <c r="V2610" s="4"/>
      <c r="W2610" s="4"/>
      <c r="X2610" s="4"/>
      <c r="Y2610" s="4"/>
      <c r="Z2610" s="4"/>
      <c r="AA2610" s="4"/>
      <c r="AB2610" s="5"/>
    </row>
    <row r="2611" spans="1:28" x14ac:dyDescent="0.35">
      <c r="A2611" s="3"/>
      <c r="B2611" s="4"/>
      <c r="C2611" s="4"/>
      <c r="D2611" s="4"/>
      <c r="E2611" s="4"/>
      <c r="F2611" s="4"/>
      <c r="G2611" s="4"/>
      <c r="H2611" s="4"/>
      <c r="I2611" s="4"/>
      <c r="J2611" s="4"/>
      <c r="K2611" s="4"/>
      <c r="L2611" s="4"/>
      <c r="M2611" s="4"/>
      <c r="N2611" s="4"/>
      <c r="O2611" s="4"/>
      <c r="P2611" s="4"/>
      <c r="Q2611" s="4"/>
      <c r="R2611" s="4"/>
      <c r="S2611" s="4"/>
      <c r="T2611" s="4"/>
      <c r="U2611" s="4"/>
      <c r="V2611" s="4"/>
      <c r="W2611" s="4"/>
      <c r="X2611" s="4"/>
      <c r="Y2611" s="4"/>
      <c r="Z2611" s="4"/>
      <c r="AA2611" s="4"/>
      <c r="AB2611" s="5"/>
    </row>
    <row r="2612" spans="1:28" x14ac:dyDescent="0.35">
      <c r="A2612" s="3"/>
      <c r="B2612" s="4"/>
      <c r="C2612" s="4"/>
      <c r="D2612" s="4"/>
      <c r="E2612" s="4"/>
      <c r="F2612" s="4"/>
      <c r="G2612" s="4"/>
      <c r="H2612" s="4"/>
      <c r="I2612" s="4"/>
      <c r="J2612" s="4"/>
      <c r="K2612" s="4"/>
      <c r="L2612" s="4"/>
      <c r="M2612" s="4"/>
      <c r="N2612" s="4"/>
      <c r="O2612" s="4"/>
      <c r="P2612" s="4"/>
      <c r="Q2612" s="4"/>
      <c r="R2612" s="4"/>
      <c r="S2612" s="4"/>
      <c r="T2612" s="4"/>
      <c r="U2612" s="4"/>
      <c r="V2612" s="4"/>
      <c r="W2612" s="4"/>
      <c r="X2612" s="4"/>
      <c r="Y2612" s="4"/>
      <c r="Z2612" s="4"/>
      <c r="AA2612" s="4"/>
      <c r="AB2612" s="5"/>
    </row>
    <row r="2613" spans="1:28" x14ac:dyDescent="0.35">
      <c r="A2613" s="3"/>
      <c r="B2613" s="4"/>
      <c r="C2613" s="4"/>
      <c r="D2613" s="4"/>
      <c r="E2613" s="4"/>
      <c r="F2613" s="4"/>
      <c r="G2613" s="4"/>
      <c r="H2613" s="4"/>
      <c r="I2613" s="4"/>
      <c r="J2613" s="4"/>
      <c r="K2613" s="4"/>
      <c r="L2613" s="4"/>
      <c r="M2613" s="4"/>
      <c r="N2613" s="4"/>
      <c r="O2613" s="4"/>
      <c r="P2613" s="4"/>
      <c r="Q2613" s="4"/>
      <c r="R2613" s="4"/>
      <c r="S2613" s="4"/>
      <c r="T2613" s="4"/>
      <c r="U2613" s="4"/>
      <c r="V2613" s="4"/>
      <c r="W2613" s="4"/>
      <c r="X2613" s="4"/>
      <c r="Y2613" s="4"/>
      <c r="Z2613" s="4"/>
      <c r="AA2613" s="4"/>
      <c r="AB2613" s="5"/>
    </row>
    <row r="2614" spans="1:28" x14ac:dyDescent="0.35">
      <c r="A2614" s="3"/>
      <c r="B2614" s="4"/>
      <c r="C2614" s="4"/>
      <c r="D2614" s="4"/>
      <c r="E2614" s="4"/>
      <c r="F2614" s="4"/>
      <c r="G2614" s="4"/>
      <c r="H2614" s="4"/>
      <c r="I2614" s="4"/>
      <c r="J2614" s="4"/>
      <c r="K2614" s="4"/>
      <c r="L2614" s="4"/>
      <c r="M2614" s="4"/>
      <c r="N2614" s="4"/>
      <c r="O2614" s="4"/>
      <c r="P2614" s="4"/>
      <c r="Q2614" s="4"/>
      <c r="R2614" s="4"/>
      <c r="S2614" s="4"/>
      <c r="T2614" s="4"/>
      <c r="U2614" s="4"/>
      <c r="V2614" s="4"/>
      <c r="W2614" s="4"/>
      <c r="X2614" s="4"/>
      <c r="Y2614" s="4"/>
      <c r="Z2614" s="4"/>
      <c r="AA2614" s="4"/>
      <c r="AB2614" s="5"/>
    </row>
    <row r="2615" spans="1:28" x14ac:dyDescent="0.35">
      <c r="A2615" s="3"/>
      <c r="B2615" s="4"/>
      <c r="C2615" s="4"/>
      <c r="D2615" s="4"/>
      <c r="E2615" s="4"/>
      <c r="F2615" s="4"/>
      <c r="G2615" s="4"/>
      <c r="H2615" s="4"/>
      <c r="I2615" s="4"/>
      <c r="J2615" s="4"/>
      <c r="K2615" s="4"/>
      <c r="L2615" s="4"/>
      <c r="M2615" s="4"/>
      <c r="N2615" s="4"/>
      <c r="O2615" s="4"/>
      <c r="P2615" s="4"/>
      <c r="Q2615" s="4"/>
      <c r="R2615" s="4"/>
      <c r="S2615" s="4"/>
      <c r="T2615" s="4"/>
      <c r="U2615" s="4"/>
      <c r="V2615" s="4"/>
      <c r="W2615" s="4"/>
      <c r="X2615" s="4"/>
      <c r="Y2615" s="4"/>
      <c r="Z2615" s="4"/>
      <c r="AA2615" s="4"/>
      <c r="AB2615" s="5"/>
    </row>
    <row r="2616" spans="1:28" x14ac:dyDescent="0.35">
      <c r="A2616" s="3"/>
      <c r="B2616" s="4"/>
      <c r="C2616" s="4"/>
      <c r="D2616" s="4"/>
      <c r="E2616" s="4"/>
      <c r="F2616" s="4"/>
      <c r="G2616" s="4"/>
      <c r="H2616" s="4"/>
      <c r="I2616" s="4"/>
      <c r="J2616" s="4"/>
      <c r="K2616" s="4"/>
      <c r="L2616" s="4"/>
      <c r="M2616" s="4"/>
      <c r="N2616" s="4"/>
      <c r="O2616" s="4"/>
      <c r="P2616" s="4"/>
      <c r="Q2616" s="4"/>
      <c r="R2616" s="4"/>
      <c r="S2616" s="4"/>
      <c r="T2616" s="4"/>
      <c r="U2616" s="4"/>
      <c r="V2616" s="4"/>
      <c r="W2616" s="4"/>
      <c r="X2616" s="4"/>
      <c r="Y2616" s="4"/>
      <c r="Z2616" s="4"/>
      <c r="AA2616" s="4"/>
      <c r="AB2616" s="5"/>
    </row>
    <row r="2617" spans="1:28" x14ac:dyDescent="0.35">
      <c r="A2617" s="3"/>
      <c r="B2617" s="4"/>
      <c r="C2617" s="4"/>
      <c r="D2617" s="4"/>
      <c r="E2617" s="4"/>
      <c r="F2617" s="4"/>
      <c r="G2617" s="4"/>
      <c r="H2617" s="4"/>
      <c r="I2617" s="4"/>
      <c r="J2617" s="4"/>
      <c r="K2617" s="4"/>
      <c r="L2617" s="4"/>
      <c r="M2617" s="4"/>
      <c r="N2617" s="4"/>
      <c r="O2617" s="4"/>
      <c r="P2617" s="4"/>
      <c r="Q2617" s="4"/>
      <c r="R2617" s="4"/>
      <c r="S2617" s="4"/>
      <c r="T2617" s="4"/>
      <c r="U2617" s="4"/>
      <c r="V2617" s="4"/>
      <c r="W2617" s="4"/>
      <c r="X2617" s="4"/>
      <c r="Y2617" s="4"/>
      <c r="Z2617" s="4"/>
      <c r="AA2617" s="4"/>
      <c r="AB2617" s="5"/>
    </row>
    <row r="2618" spans="1:28" x14ac:dyDescent="0.35">
      <c r="A2618" s="3"/>
      <c r="B2618" s="4"/>
      <c r="C2618" s="4"/>
      <c r="D2618" s="4"/>
      <c r="E2618" s="4"/>
      <c r="F2618" s="4"/>
      <c r="G2618" s="4"/>
      <c r="H2618" s="4"/>
      <c r="I2618" s="4"/>
      <c r="J2618" s="4"/>
      <c r="K2618" s="4"/>
      <c r="L2618" s="4"/>
      <c r="M2618" s="4"/>
      <c r="N2618" s="4"/>
      <c r="O2618" s="4"/>
      <c r="P2618" s="4"/>
      <c r="Q2618" s="4"/>
      <c r="R2618" s="4"/>
      <c r="S2618" s="4"/>
      <c r="T2618" s="4"/>
      <c r="U2618" s="4"/>
      <c r="V2618" s="4"/>
      <c r="W2618" s="4"/>
      <c r="X2618" s="4"/>
      <c r="Y2618" s="4"/>
      <c r="Z2618" s="4"/>
      <c r="AA2618" s="4"/>
      <c r="AB2618" s="5"/>
    </row>
    <row r="2619" spans="1:28" x14ac:dyDescent="0.35">
      <c r="A2619" s="3"/>
      <c r="B2619" s="4"/>
      <c r="C2619" s="4"/>
      <c r="D2619" s="4"/>
      <c r="E2619" s="4"/>
      <c r="F2619" s="4"/>
      <c r="G2619" s="4"/>
      <c r="H2619" s="4"/>
      <c r="I2619" s="4"/>
      <c r="J2619" s="4"/>
      <c r="K2619" s="4"/>
      <c r="L2619" s="4"/>
      <c r="M2619" s="4"/>
      <c r="N2619" s="4"/>
      <c r="O2619" s="4"/>
      <c r="P2619" s="4"/>
      <c r="Q2619" s="4"/>
      <c r="R2619" s="4"/>
      <c r="S2619" s="4"/>
      <c r="T2619" s="4"/>
      <c r="U2619" s="4"/>
      <c r="V2619" s="4"/>
      <c r="W2619" s="4"/>
      <c r="X2619" s="4"/>
      <c r="Y2619" s="4"/>
      <c r="Z2619" s="4"/>
      <c r="AA2619" s="4"/>
      <c r="AB2619" s="5"/>
    </row>
    <row r="2620" spans="1:28" x14ac:dyDescent="0.35">
      <c r="A2620" s="3"/>
      <c r="B2620" s="4"/>
      <c r="C2620" s="4"/>
      <c r="D2620" s="4"/>
      <c r="E2620" s="4"/>
      <c r="F2620" s="4"/>
      <c r="G2620" s="4"/>
      <c r="H2620" s="4"/>
      <c r="I2620" s="4"/>
      <c r="J2620" s="4"/>
      <c r="K2620" s="4"/>
      <c r="L2620" s="4"/>
      <c r="M2620" s="4"/>
      <c r="N2620" s="4"/>
      <c r="O2620" s="4"/>
      <c r="P2620" s="4"/>
      <c r="Q2620" s="4"/>
      <c r="R2620" s="4"/>
      <c r="S2620" s="4"/>
      <c r="T2620" s="4"/>
      <c r="U2620" s="4"/>
      <c r="V2620" s="4"/>
      <c r="W2620" s="4"/>
      <c r="X2620" s="4"/>
      <c r="Y2620" s="4"/>
      <c r="Z2620" s="4"/>
      <c r="AA2620" s="4"/>
      <c r="AB2620" s="5"/>
    </row>
    <row r="2621" spans="1:28" x14ac:dyDescent="0.35">
      <c r="A2621" s="3"/>
      <c r="B2621" s="4"/>
      <c r="C2621" s="4"/>
      <c r="D2621" s="4"/>
      <c r="E2621" s="4"/>
      <c r="F2621" s="4"/>
      <c r="G2621" s="4"/>
      <c r="H2621" s="4"/>
      <c r="I2621" s="4"/>
      <c r="J2621" s="4"/>
      <c r="K2621" s="4"/>
      <c r="L2621" s="4"/>
      <c r="M2621" s="4"/>
      <c r="N2621" s="4"/>
      <c r="O2621" s="4"/>
      <c r="P2621" s="4"/>
      <c r="Q2621" s="4"/>
      <c r="R2621" s="4"/>
      <c r="S2621" s="4"/>
      <c r="T2621" s="4"/>
      <c r="U2621" s="4"/>
      <c r="V2621" s="4"/>
      <c r="W2621" s="4"/>
      <c r="X2621" s="4"/>
      <c r="Y2621" s="4"/>
      <c r="Z2621" s="4"/>
      <c r="AA2621" s="4"/>
      <c r="AB2621" s="5"/>
    </row>
    <row r="2622" spans="1:28" x14ac:dyDescent="0.35">
      <c r="A2622" s="3"/>
      <c r="B2622" s="4"/>
      <c r="C2622" s="4"/>
      <c r="D2622" s="4"/>
      <c r="E2622" s="4"/>
      <c r="F2622" s="4"/>
      <c r="G2622" s="4"/>
      <c r="H2622" s="4"/>
      <c r="I2622" s="4"/>
      <c r="J2622" s="4"/>
      <c r="K2622" s="4"/>
      <c r="L2622" s="4"/>
      <c r="M2622" s="4"/>
      <c r="N2622" s="4"/>
      <c r="O2622" s="4"/>
      <c r="P2622" s="4"/>
      <c r="Q2622" s="4"/>
      <c r="R2622" s="4"/>
      <c r="S2622" s="4"/>
      <c r="T2622" s="4"/>
      <c r="U2622" s="4"/>
      <c r="V2622" s="4"/>
      <c r="W2622" s="4"/>
      <c r="X2622" s="4"/>
      <c r="Y2622" s="4"/>
      <c r="Z2622" s="4"/>
      <c r="AA2622" s="4"/>
      <c r="AB2622" s="5"/>
    </row>
    <row r="2623" spans="1:28" x14ac:dyDescent="0.35">
      <c r="A2623" s="3"/>
      <c r="B2623" s="4"/>
      <c r="C2623" s="4"/>
      <c r="D2623" s="4"/>
      <c r="E2623" s="4"/>
      <c r="F2623" s="4"/>
      <c r="G2623" s="4"/>
      <c r="H2623" s="4"/>
      <c r="I2623" s="4"/>
      <c r="J2623" s="4"/>
      <c r="K2623" s="4"/>
      <c r="L2623" s="4"/>
      <c r="M2623" s="4"/>
      <c r="N2623" s="4"/>
      <c r="O2623" s="4"/>
      <c r="P2623" s="4"/>
      <c r="Q2623" s="4"/>
      <c r="R2623" s="4"/>
      <c r="S2623" s="4"/>
      <c r="T2623" s="4"/>
      <c r="U2623" s="4"/>
      <c r="V2623" s="4"/>
      <c r="W2623" s="4"/>
      <c r="X2623" s="4"/>
      <c r="Y2623" s="4"/>
      <c r="Z2623" s="4"/>
      <c r="AA2623" s="4"/>
      <c r="AB2623" s="5"/>
    </row>
    <row r="2624" spans="1:28" x14ac:dyDescent="0.35">
      <c r="A2624" s="3"/>
      <c r="B2624" s="4"/>
      <c r="C2624" s="4"/>
      <c r="D2624" s="4"/>
      <c r="E2624" s="4"/>
      <c r="F2624" s="4"/>
      <c r="G2624" s="4"/>
      <c r="H2624" s="4"/>
      <c r="I2624" s="4"/>
      <c r="J2624" s="4"/>
      <c r="K2624" s="4"/>
      <c r="L2624" s="4"/>
      <c r="M2624" s="4"/>
      <c r="N2624" s="4"/>
      <c r="O2624" s="4"/>
      <c r="P2624" s="4"/>
      <c r="Q2624" s="4"/>
      <c r="R2624" s="4"/>
      <c r="S2624" s="4"/>
      <c r="T2624" s="4"/>
      <c r="U2624" s="4"/>
      <c r="V2624" s="4"/>
      <c r="W2624" s="4"/>
      <c r="X2624" s="4"/>
      <c r="Y2624" s="4"/>
      <c r="Z2624" s="4"/>
      <c r="AA2624" s="4"/>
      <c r="AB2624" s="5"/>
    </row>
    <row r="2625" spans="1:28" x14ac:dyDescent="0.35">
      <c r="A2625" s="3"/>
      <c r="B2625" s="4"/>
      <c r="C2625" s="4"/>
      <c r="D2625" s="4"/>
      <c r="E2625" s="4"/>
      <c r="F2625" s="4"/>
      <c r="G2625" s="4"/>
      <c r="H2625" s="4"/>
      <c r="I2625" s="4"/>
      <c r="J2625" s="4"/>
      <c r="K2625" s="4"/>
      <c r="L2625" s="4"/>
      <c r="M2625" s="4"/>
      <c r="N2625" s="4"/>
      <c r="O2625" s="4"/>
      <c r="P2625" s="4"/>
      <c r="Q2625" s="4"/>
      <c r="R2625" s="4"/>
      <c r="S2625" s="4"/>
      <c r="T2625" s="4"/>
      <c r="U2625" s="4"/>
      <c r="V2625" s="4"/>
      <c r="W2625" s="4"/>
      <c r="X2625" s="4"/>
      <c r="Y2625" s="4"/>
      <c r="Z2625" s="4"/>
      <c r="AA2625" s="4"/>
      <c r="AB2625" s="5"/>
    </row>
    <row r="2626" spans="1:28" x14ac:dyDescent="0.35">
      <c r="A2626" s="3"/>
      <c r="B2626" s="4"/>
      <c r="C2626" s="4"/>
      <c r="D2626" s="4"/>
      <c r="E2626" s="4"/>
      <c r="F2626" s="4"/>
      <c r="G2626" s="4"/>
      <c r="H2626" s="4"/>
      <c r="I2626" s="4"/>
      <c r="J2626" s="4"/>
      <c r="K2626" s="4"/>
      <c r="L2626" s="4"/>
      <c r="M2626" s="4"/>
      <c r="N2626" s="4"/>
      <c r="O2626" s="4"/>
      <c r="P2626" s="4"/>
      <c r="Q2626" s="4"/>
      <c r="R2626" s="4"/>
      <c r="S2626" s="4"/>
      <c r="T2626" s="4"/>
      <c r="U2626" s="4"/>
      <c r="V2626" s="4"/>
      <c r="W2626" s="4"/>
      <c r="X2626" s="4"/>
      <c r="Y2626" s="4"/>
      <c r="Z2626" s="4"/>
      <c r="AA2626" s="4"/>
      <c r="AB2626" s="5"/>
    </row>
    <row r="2627" spans="1:28" x14ac:dyDescent="0.35">
      <c r="A2627" s="3"/>
      <c r="B2627" s="4"/>
      <c r="C2627" s="4"/>
      <c r="D2627" s="4"/>
      <c r="E2627" s="4"/>
      <c r="F2627" s="4"/>
      <c r="G2627" s="4"/>
      <c r="H2627" s="4"/>
      <c r="I2627" s="4"/>
      <c r="J2627" s="4"/>
      <c r="K2627" s="4"/>
      <c r="L2627" s="4"/>
      <c r="M2627" s="4"/>
      <c r="N2627" s="4"/>
      <c r="O2627" s="4"/>
      <c r="P2627" s="4"/>
      <c r="Q2627" s="4"/>
      <c r="R2627" s="4"/>
      <c r="S2627" s="4"/>
      <c r="T2627" s="4"/>
      <c r="U2627" s="4"/>
      <c r="V2627" s="4"/>
      <c r="W2627" s="4"/>
      <c r="X2627" s="4"/>
      <c r="Y2627" s="4"/>
      <c r="Z2627" s="4"/>
      <c r="AA2627" s="4"/>
      <c r="AB2627" s="5"/>
    </row>
    <row r="2628" spans="1:28" x14ac:dyDescent="0.35">
      <c r="A2628" s="3"/>
      <c r="B2628" s="4"/>
      <c r="C2628" s="4"/>
      <c r="D2628" s="4"/>
      <c r="E2628" s="4"/>
      <c r="F2628" s="4"/>
      <c r="G2628" s="4"/>
      <c r="H2628" s="4"/>
      <c r="I2628" s="4"/>
      <c r="J2628" s="4"/>
      <c r="K2628" s="4"/>
      <c r="L2628" s="4"/>
      <c r="M2628" s="4"/>
      <c r="N2628" s="4"/>
      <c r="O2628" s="4"/>
      <c r="P2628" s="4"/>
      <c r="Q2628" s="4"/>
      <c r="R2628" s="4"/>
      <c r="S2628" s="4"/>
      <c r="T2628" s="4"/>
      <c r="U2628" s="4"/>
      <c r="V2628" s="4"/>
      <c r="W2628" s="4"/>
      <c r="X2628" s="4"/>
      <c r="Y2628" s="4"/>
      <c r="Z2628" s="4"/>
      <c r="AA2628" s="4"/>
      <c r="AB2628" s="5"/>
    </row>
    <row r="2629" spans="1:28" x14ac:dyDescent="0.35">
      <c r="A2629" s="3"/>
      <c r="B2629" s="4"/>
      <c r="C2629" s="4"/>
      <c r="D2629" s="4"/>
      <c r="E2629" s="4"/>
      <c r="F2629" s="4"/>
      <c r="G2629" s="4"/>
      <c r="H2629" s="4"/>
      <c r="I2629" s="4"/>
      <c r="J2629" s="4"/>
      <c r="K2629" s="4"/>
      <c r="L2629" s="4"/>
      <c r="M2629" s="4"/>
      <c r="N2629" s="4"/>
      <c r="O2629" s="4"/>
      <c r="P2629" s="4"/>
      <c r="Q2629" s="4"/>
      <c r="R2629" s="4"/>
      <c r="S2629" s="4"/>
      <c r="T2629" s="4"/>
      <c r="U2629" s="4"/>
      <c r="V2629" s="4"/>
      <c r="W2629" s="4"/>
      <c r="X2629" s="4"/>
      <c r="Y2629" s="4"/>
      <c r="Z2629" s="4"/>
      <c r="AA2629" s="4"/>
      <c r="AB2629" s="5"/>
    </row>
    <row r="2630" spans="1:28" x14ac:dyDescent="0.35">
      <c r="A2630" s="3"/>
      <c r="B2630" s="4"/>
      <c r="C2630" s="4"/>
      <c r="D2630" s="4"/>
      <c r="E2630" s="4"/>
      <c r="F2630" s="4"/>
      <c r="G2630" s="4"/>
      <c r="H2630" s="4"/>
      <c r="I2630" s="4"/>
      <c r="J2630" s="4"/>
      <c r="K2630" s="4"/>
      <c r="L2630" s="4"/>
      <c r="M2630" s="4"/>
      <c r="N2630" s="4"/>
      <c r="O2630" s="4"/>
      <c r="P2630" s="4"/>
      <c r="Q2630" s="4"/>
      <c r="R2630" s="4"/>
      <c r="S2630" s="4"/>
      <c r="T2630" s="4"/>
      <c r="U2630" s="4"/>
      <c r="V2630" s="4"/>
      <c r="W2630" s="4"/>
      <c r="X2630" s="4"/>
      <c r="Y2630" s="4"/>
      <c r="Z2630" s="4"/>
      <c r="AA2630" s="4"/>
      <c r="AB2630" s="5"/>
    </row>
    <row r="2631" spans="1:28" x14ac:dyDescent="0.35">
      <c r="A2631" s="3"/>
      <c r="B2631" s="4"/>
      <c r="C2631" s="4"/>
      <c r="D2631" s="4"/>
      <c r="E2631" s="4"/>
      <c r="F2631" s="4"/>
      <c r="G2631" s="4"/>
      <c r="H2631" s="4"/>
      <c r="I2631" s="4"/>
      <c r="J2631" s="4"/>
      <c r="K2631" s="4"/>
      <c r="L2631" s="4"/>
      <c r="M2631" s="4"/>
      <c r="N2631" s="4"/>
      <c r="O2631" s="4"/>
      <c r="P2631" s="4"/>
      <c r="Q2631" s="4"/>
      <c r="R2631" s="4"/>
      <c r="S2631" s="4"/>
      <c r="T2631" s="4"/>
      <c r="U2631" s="4"/>
      <c r="V2631" s="4"/>
      <c r="W2631" s="4"/>
      <c r="X2631" s="4"/>
      <c r="Y2631" s="4"/>
      <c r="Z2631" s="4"/>
      <c r="AA2631" s="4"/>
      <c r="AB2631" s="5"/>
    </row>
    <row r="2632" spans="1:28" x14ac:dyDescent="0.35">
      <c r="A2632" s="3"/>
      <c r="B2632" s="4"/>
      <c r="C2632" s="4"/>
      <c r="D2632" s="4"/>
      <c r="E2632" s="4"/>
      <c r="F2632" s="4"/>
      <c r="G2632" s="4"/>
      <c r="H2632" s="4"/>
      <c r="I2632" s="4"/>
      <c r="J2632" s="4"/>
      <c r="K2632" s="4"/>
      <c r="L2632" s="4"/>
      <c r="M2632" s="4"/>
      <c r="N2632" s="4"/>
      <c r="O2632" s="4"/>
      <c r="P2632" s="4"/>
      <c r="Q2632" s="4"/>
      <c r="R2632" s="4"/>
      <c r="S2632" s="4"/>
      <c r="T2632" s="4"/>
      <c r="U2632" s="4"/>
      <c r="V2632" s="4"/>
      <c r="W2632" s="4"/>
      <c r="X2632" s="4"/>
      <c r="Y2632" s="4"/>
      <c r="Z2632" s="4"/>
      <c r="AA2632" s="4"/>
      <c r="AB2632" s="5"/>
    </row>
    <row r="2633" spans="1:28" x14ac:dyDescent="0.35">
      <c r="A2633" s="3"/>
      <c r="B2633" s="4"/>
      <c r="C2633" s="4"/>
      <c r="D2633" s="4"/>
      <c r="E2633" s="4"/>
      <c r="F2633" s="4"/>
      <c r="G2633" s="4"/>
      <c r="H2633" s="4"/>
      <c r="I2633" s="4"/>
      <c r="J2633" s="4"/>
      <c r="K2633" s="4"/>
      <c r="L2633" s="4"/>
      <c r="M2633" s="4"/>
      <c r="N2633" s="4"/>
      <c r="O2633" s="4"/>
      <c r="P2633" s="4"/>
      <c r="Q2633" s="4"/>
      <c r="R2633" s="4"/>
      <c r="S2633" s="4"/>
      <c r="T2633" s="4"/>
      <c r="U2633" s="4"/>
      <c r="V2633" s="4"/>
      <c r="W2633" s="4"/>
      <c r="X2633" s="4"/>
      <c r="Y2633" s="4"/>
      <c r="Z2633" s="4"/>
      <c r="AA2633" s="4"/>
      <c r="AB2633" s="5"/>
    </row>
    <row r="2634" spans="1:28" x14ac:dyDescent="0.35">
      <c r="A2634" s="3"/>
      <c r="B2634" s="4"/>
      <c r="C2634" s="4"/>
      <c r="D2634" s="4"/>
      <c r="E2634" s="4"/>
      <c r="F2634" s="4"/>
      <c r="G2634" s="4"/>
      <c r="H2634" s="4"/>
      <c r="I2634" s="4"/>
      <c r="J2634" s="4"/>
      <c r="K2634" s="4"/>
      <c r="L2634" s="4"/>
      <c r="M2634" s="4"/>
      <c r="N2634" s="4"/>
      <c r="O2634" s="4"/>
      <c r="P2634" s="4"/>
      <c r="Q2634" s="4"/>
      <c r="R2634" s="4"/>
      <c r="S2634" s="4"/>
      <c r="T2634" s="4"/>
      <c r="U2634" s="4"/>
      <c r="V2634" s="4"/>
      <c r="W2634" s="4"/>
      <c r="X2634" s="4"/>
      <c r="Y2634" s="4"/>
      <c r="Z2634" s="4"/>
      <c r="AA2634" s="4"/>
      <c r="AB2634" s="5"/>
    </row>
    <row r="2635" spans="1:28" x14ac:dyDescent="0.35">
      <c r="A2635" s="3"/>
      <c r="B2635" s="4"/>
      <c r="C2635" s="4"/>
      <c r="D2635" s="4"/>
      <c r="E2635" s="4"/>
      <c r="F2635" s="4"/>
      <c r="G2635" s="4"/>
      <c r="H2635" s="4"/>
      <c r="I2635" s="4"/>
      <c r="J2635" s="4"/>
      <c r="K2635" s="4"/>
      <c r="L2635" s="4"/>
      <c r="M2635" s="4"/>
      <c r="N2635" s="4"/>
      <c r="O2635" s="4"/>
      <c r="P2635" s="4"/>
      <c r="Q2635" s="4"/>
      <c r="R2635" s="4"/>
      <c r="S2635" s="4"/>
      <c r="T2635" s="4"/>
      <c r="U2635" s="4"/>
      <c r="V2635" s="4"/>
      <c r="W2635" s="4"/>
      <c r="X2635" s="4"/>
      <c r="Y2635" s="4"/>
      <c r="Z2635" s="4"/>
      <c r="AA2635" s="4"/>
      <c r="AB2635" s="5"/>
    </row>
    <row r="2636" spans="1:28" x14ac:dyDescent="0.35">
      <c r="A2636" s="3"/>
      <c r="B2636" s="4"/>
      <c r="C2636" s="4"/>
      <c r="D2636" s="4"/>
      <c r="E2636" s="4"/>
      <c r="F2636" s="4"/>
      <c r="G2636" s="4"/>
      <c r="H2636" s="4"/>
      <c r="I2636" s="4"/>
      <c r="J2636" s="4"/>
      <c r="K2636" s="4"/>
      <c r="L2636" s="4"/>
      <c r="M2636" s="4"/>
      <c r="N2636" s="4"/>
      <c r="O2636" s="4"/>
      <c r="P2636" s="4"/>
      <c r="Q2636" s="4"/>
      <c r="R2636" s="4"/>
      <c r="S2636" s="4"/>
      <c r="T2636" s="4"/>
      <c r="U2636" s="4"/>
      <c r="V2636" s="4"/>
      <c r="W2636" s="4"/>
      <c r="X2636" s="4"/>
      <c r="Y2636" s="4"/>
      <c r="Z2636" s="4"/>
      <c r="AA2636" s="4"/>
      <c r="AB2636" s="5"/>
    </row>
    <row r="2637" spans="1:28" x14ac:dyDescent="0.35">
      <c r="A2637" s="3"/>
      <c r="B2637" s="4"/>
      <c r="C2637" s="4"/>
      <c r="D2637" s="4"/>
      <c r="E2637" s="4"/>
      <c r="F2637" s="4"/>
      <c r="G2637" s="4"/>
      <c r="H2637" s="4"/>
      <c r="I2637" s="4"/>
      <c r="J2637" s="4"/>
      <c r="K2637" s="4"/>
      <c r="L2637" s="4"/>
      <c r="M2637" s="4"/>
      <c r="N2637" s="4"/>
      <c r="O2637" s="4"/>
      <c r="P2637" s="4"/>
      <c r="Q2637" s="4"/>
      <c r="R2637" s="4"/>
      <c r="S2637" s="4"/>
      <c r="T2637" s="4"/>
      <c r="U2637" s="4"/>
      <c r="V2637" s="4"/>
      <c r="W2637" s="4"/>
      <c r="X2637" s="4"/>
      <c r="Y2637" s="4"/>
      <c r="Z2637" s="4"/>
      <c r="AA2637" s="4"/>
      <c r="AB2637" s="5"/>
    </row>
    <row r="2638" spans="1:28" x14ac:dyDescent="0.35">
      <c r="A2638" s="3"/>
      <c r="B2638" s="4"/>
      <c r="C2638" s="4"/>
      <c r="D2638" s="4"/>
      <c r="E2638" s="4"/>
      <c r="F2638" s="4"/>
      <c r="G2638" s="4"/>
      <c r="H2638" s="4"/>
      <c r="I2638" s="4"/>
      <c r="J2638" s="4"/>
      <c r="K2638" s="4"/>
      <c r="L2638" s="4"/>
      <c r="M2638" s="4"/>
      <c r="N2638" s="4"/>
      <c r="O2638" s="4"/>
      <c r="P2638" s="4"/>
      <c r="Q2638" s="4"/>
      <c r="R2638" s="4"/>
      <c r="S2638" s="4"/>
      <c r="T2638" s="4"/>
      <c r="U2638" s="4"/>
      <c r="V2638" s="4"/>
      <c r="W2638" s="4"/>
      <c r="X2638" s="4"/>
      <c r="Y2638" s="4"/>
      <c r="Z2638" s="4"/>
      <c r="AA2638" s="4"/>
      <c r="AB2638" s="5"/>
    </row>
    <row r="2639" spans="1:28" x14ac:dyDescent="0.35">
      <c r="A2639" s="3"/>
      <c r="B2639" s="4"/>
      <c r="C2639" s="4"/>
      <c r="D2639" s="4"/>
      <c r="E2639" s="4"/>
      <c r="F2639" s="4"/>
      <c r="G2639" s="4"/>
      <c r="H2639" s="4"/>
      <c r="I2639" s="4"/>
      <c r="J2639" s="4"/>
      <c r="K2639" s="4"/>
      <c r="L2639" s="4"/>
      <c r="M2639" s="4"/>
      <c r="N2639" s="4"/>
      <c r="O2639" s="4"/>
      <c r="P2639" s="4"/>
      <c r="Q2639" s="4"/>
      <c r="R2639" s="4"/>
      <c r="S2639" s="4"/>
      <c r="T2639" s="4"/>
      <c r="U2639" s="4"/>
      <c r="V2639" s="4"/>
      <c r="W2639" s="4"/>
      <c r="X2639" s="4"/>
      <c r="Y2639" s="4"/>
      <c r="Z2639" s="4"/>
      <c r="AA2639" s="4"/>
      <c r="AB2639" s="5"/>
    </row>
    <row r="2640" spans="1:28" x14ac:dyDescent="0.35">
      <c r="A2640" s="3"/>
      <c r="B2640" s="4"/>
      <c r="C2640" s="4"/>
      <c r="D2640" s="4"/>
      <c r="E2640" s="4"/>
      <c r="F2640" s="4"/>
      <c r="G2640" s="4"/>
      <c r="H2640" s="4"/>
      <c r="I2640" s="4"/>
      <c r="J2640" s="4"/>
      <c r="K2640" s="4"/>
      <c r="L2640" s="4"/>
      <c r="M2640" s="4"/>
      <c r="N2640" s="4"/>
      <c r="O2640" s="4"/>
      <c r="P2640" s="4"/>
      <c r="Q2640" s="4"/>
      <c r="R2640" s="4"/>
      <c r="S2640" s="4"/>
      <c r="T2640" s="4"/>
      <c r="U2640" s="4"/>
      <c r="V2640" s="4"/>
      <c r="W2640" s="4"/>
      <c r="X2640" s="4"/>
      <c r="Y2640" s="4"/>
      <c r="Z2640" s="4"/>
      <c r="AA2640" s="4"/>
      <c r="AB2640" s="5"/>
    </row>
    <row r="2641" spans="1:28" x14ac:dyDescent="0.35">
      <c r="A2641" s="3"/>
      <c r="B2641" s="4"/>
      <c r="C2641" s="4"/>
      <c r="D2641" s="4"/>
      <c r="E2641" s="4"/>
      <c r="F2641" s="4"/>
      <c r="G2641" s="4"/>
      <c r="H2641" s="4"/>
      <c r="I2641" s="4"/>
      <c r="J2641" s="4"/>
      <c r="K2641" s="4"/>
      <c r="L2641" s="4"/>
      <c r="M2641" s="4"/>
      <c r="N2641" s="4"/>
      <c r="O2641" s="4"/>
      <c r="P2641" s="4"/>
      <c r="Q2641" s="4"/>
      <c r="R2641" s="4"/>
      <c r="S2641" s="4"/>
      <c r="T2641" s="4"/>
      <c r="U2641" s="4"/>
      <c r="V2641" s="4"/>
      <c r="W2641" s="4"/>
      <c r="X2641" s="4"/>
      <c r="Y2641" s="4"/>
      <c r="Z2641" s="4"/>
      <c r="AA2641" s="4"/>
      <c r="AB2641" s="5"/>
    </row>
    <row r="2642" spans="1:28" x14ac:dyDescent="0.35">
      <c r="A2642" s="3"/>
      <c r="B2642" s="4"/>
      <c r="C2642" s="4"/>
      <c r="D2642" s="4"/>
      <c r="E2642" s="4"/>
      <c r="F2642" s="4"/>
      <c r="G2642" s="4"/>
      <c r="H2642" s="4"/>
      <c r="I2642" s="4"/>
      <c r="J2642" s="4"/>
      <c r="K2642" s="4"/>
      <c r="L2642" s="4"/>
      <c r="M2642" s="4"/>
      <c r="N2642" s="4"/>
      <c r="O2642" s="4"/>
      <c r="P2642" s="4"/>
      <c r="Q2642" s="4"/>
      <c r="R2642" s="4"/>
      <c r="S2642" s="4"/>
      <c r="T2642" s="4"/>
      <c r="U2642" s="4"/>
      <c r="V2642" s="4"/>
      <c r="W2642" s="4"/>
      <c r="X2642" s="4"/>
      <c r="Y2642" s="4"/>
      <c r="Z2642" s="4"/>
      <c r="AA2642" s="4"/>
      <c r="AB2642" s="5"/>
    </row>
    <row r="2643" spans="1:28" x14ac:dyDescent="0.35">
      <c r="A2643" s="3"/>
      <c r="B2643" s="4"/>
      <c r="C2643" s="4"/>
      <c r="D2643" s="4"/>
      <c r="E2643" s="4"/>
      <c r="F2643" s="4"/>
      <c r="G2643" s="4"/>
      <c r="H2643" s="4"/>
      <c r="I2643" s="4"/>
      <c r="J2643" s="4"/>
      <c r="K2643" s="4"/>
      <c r="L2643" s="4"/>
      <c r="M2643" s="4"/>
      <c r="N2643" s="4"/>
      <c r="O2643" s="4"/>
      <c r="P2643" s="4"/>
      <c r="Q2643" s="4"/>
      <c r="R2643" s="4"/>
      <c r="S2643" s="4"/>
      <c r="T2643" s="4"/>
      <c r="U2643" s="4"/>
      <c r="V2643" s="4"/>
      <c r="W2643" s="4"/>
      <c r="X2643" s="4"/>
      <c r="Y2643" s="4"/>
      <c r="Z2643" s="4"/>
      <c r="AA2643" s="4"/>
      <c r="AB2643" s="5"/>
    </row>
    <row r="2644" spans="1:28" x14ac:dyDescent="0.35">
      <c r="A2644" s="3"/>
      <c r="B2644" s="4"/>
      <c r="C2644" s="4"/>
      <c r="D2644" s="4"/>
      <c r="E2644" s="4"/>
      <c r="F2644" s="4"/>
      <c r="G2644" s="4"/>
      <c r="H2644" s="4"/>
      <c r="I2644" s="4"/>
      <c r="J2644" s="4"/>
      <c r="K2644" s="4"/>
      <c r="L2644" s="4"/>
      <c r="M2644" s="4"/>
      <c r="N2644" s="4"/>
      <c r="O2644" s="4"/>
      <c r="P2644" s="4"/>
      <c r="Q2644" s="4"/>
      <c r="R2644" s="4"/>
      <c r="S2644" s="4"/>
      <c r="T2644" s="4"/>
      <c r="U2644" s="4"/>
      <c r="V2644" s="4"/>
      <c r="W2644" s="4"/>
      <c r="X2644" s="4"/>
      <c r="Y2644" s="4"/>
      <c r="Z2644" s="4"/>
      <c r="AA2644" s="4"/>
      <c r="AB2644" s="5"/>
    </row>
    <row r="2645" spans="1:28" x14ac:dyDescent="0.35">
      <c r="A2645" s="3"/>
      <c r="B2645" s="4"/>
      <c r="C2645" s="4"/>
      <c r="D2645" s="4"/>
      <c r="E2645" s="4"/>
      <c r="F2645" s="4"/>
      <c r="G2645" s="4"/>
      <c r="H2645" s="4"/>
      <c r="I2645" s="4"/>
      <c r="J2645" s="4"/>
      <c r="K2645" s="4"/>
      <c r="L2645" s="4"/>
      <c r="M2645" s="4"/>
      <c r="N2645" s="4"/>
      <c r="O2645" s="4"/>
      <c r="P2645" s="4"/>
      <c r="Q2645" s="4"/>
      <c r="R2645" s="4"/>
      <c r="S2645" s="4"/>
      <c r="T2645" s="4"/>
      <c r="U2645" s="4"/>
      <c r="V2645" s="4"/>
      <c r="W2645" s="4"/>
      <c r="X2645" s="4"/>
      <c r="Y2645" s="4"/>
      <c r="Z2645" s="4"/>
      <c r="AA2645" s="4"/>
      <c r="AB2645" s="5"/>
    </row>
    <row r="2646" spans="1:28" x14ac:dyDescent="0.35">
      <c r="A2646" s="3"/>
      <c r="B2646" s="4"/>
      <c r="C2646" s="4"/>
      <c r="D2646" s="4"/>
      <c r="E2646" s="4"/>
      <c r="F2646" s="4"/>
      <c r="G2646" s="4"/>
      <c r="H2646" s="4"/>
      <c r="I2646" s="4"/>
      <c r="J2646" s="4"/>
      <c r="K2646" s="4"/>
      <c r="L2646" s="4"/>
      <c r="M2646" s="4"/>
      <c r="N2646" s="4"/>
      <c r="O2646" s="4"/>
      <c r="P2646" s="4"/>
      <c r="Q2646" s="4"/>
      <c r="R2646" s="4"/>
      <c r="S2646" s="4"/>
      <c r="T2646" s="4"/>
      <c r="U2646" s="4"/>
      <c r="V2646" s="4"/>
      <c r="W2646" s="4"/>
      <c r="X2646" s="4"/>
      <c r="Y2646" s="4"/>
      <c r="Z2646" s="4"/>
      <c r="AA2646" s="4"/>
      <c r="AB2646" s="5"/>
    </row>
    <row r="2647" spans="1:28" x14ac:dyDescent="0.35">
      <c r="A2647" s="3"/>
      <c r="B2647" s="4"/>
      <c r="C2647" s="4"/>
      <c r="D2647" s="4"/>
      <c r="E2647" s="4"/>
      <c r="F2647" s="4"/>
      <c r="G2647" s="4"/>
      <c r="H2647" s="4"/>
      <c r="I2647" s="4"/>
      <c r="J2647" s="4"/>
      <c r="K2647" s="4"/>
      <c r="L2647" s="4"/>
      <c r="M2647" s="4"/>
      <c r="N2647" s="4"/>
      <c r="O2647" s="4"/>
      <c r="P2647" s="4"/>
      <c r="Q2647" s="4"/>
      <c r="R2647" s="4"/>
      <c r="S2647" s="4"/>
      <c r="T2647" s="4"/>
      <c r="U2647" s="4"/>
      <c r="V2647" s="4"/>
      <c r="W2647" s="4"/>
      <c r="X2647" s="4"/>
      <c r="Y2647" s="4"/>
      <c r="Z2647" s="4"/>
      <c r="AA2647" s="4"/>
      <c r="AB2647" s="5"/>
    </row>
    <row r="2648" spans="1:28" x14ac:dyDescent="0.35">
      <c r="A2648" s="3"/>
      <c r="B2648" s="4"/>
      <c r="C2648" s="4"/>
      <c r="D2648" s="4"/>
      <c r="E2648" s="4"/>
      <c r="F2648" s="4"/>
      <c r="G2648" s="4"/>
      <c r="H2648" s="4"/>
      <c r="I2648" s="4"/>
      <c r="J2648" s="4"/>
      <c r="K2648" s="4"/>
      <c r="L2648" s="4"/>
      <c r="M2648" s="4"/>
      <c r="N2648" s="4"/>
      <c r="O2648" s="4"/>
      <c r="P2648" s="4"/>
      <c r="Q2648" s="4"/>
      <c r="R2648" s="4"/>
      <c r="S2648" s="4"/>
      <c r="T2648" s="4"/>
      <c r="U2648" s="4"/>
      <c r="V2648" s="4"/>
      <c r="W2648" s="4"/>
      <c r="X2648" s="4"/>
      <c r="Y2648" s="4"/>
      <c r="Z2648" s="4"/>
      <c r="AA2648" s="4"/>
      <c r="AB2648" s="5"/>
    </row>
    <row r="2649" spans="1:28" x14ac:dyDescent="0.35">
      <c r="A2649" s="3"/>
      <c r="B2649" s="4"/>
      <c r="C2649" s="4"/>
      <c r="D2649" s="4"/>
      <c r="E2649" s="4"/>
      <c r="F2649" s="4"/>
      <c r="G2649" s="4"/>
      <c r="H2649" s="4"/>
      <c r="I2649" s="4"/>
      <c r="J2649" s="4"/>
      <c r="K2649" s="4"/>
      <c r="L2649" s="4"/>
      <c r="M2649" s="4"/>
      <c r="N2649" s="4"/>
      <c r="O2649" s="4"/>
      <c r="P2649" s="4"/>
      <c r="Q2649" s="4"/>
      <c r="R2649" s="4"/>
      <c r="S2649" s="4"/>
      <c r="T2649" s="4"/>
      <c r="U2649" s="4"/>
      <c r="V2649" s="4"/>
      <c r="W2649" s="4"/>
      <c r="X2649" s="4"/>
      <c r="Y2649" s="4"/>
      <c r="Z2649" s="4"/>
      <c r="AA2649" s="4"/>
      <c r="AB2649" s="5"/>
    </row>
    <row r="2650" spans="1:28" x14ac:dyDescent="0.35">
      <c r="A2650" s="3"/>
      <c r="B2650" s="4"/>
      <c r="C2650" s="4"/>
      <c r="D2650" s="4"/>
      <c r="E2650" s="4"/>
      <c r="F2650" s="4"/>
      <c r="G2650" s="4"/>
      <c r="H2650" s="4"/>
      <c r="I2650" s="4"/>
      <c r="J2650" s="4"/>
      <c r="K2650" s="4"/>
      <c r="L2650" s="4"/>
      <c r="M2650" s="4"/>
      <c r="N2650" s="4"/>
      <c r="O2650" s="4"/>
      <c r="P2650" s="4"/>
      <c r="Q2650" s="4"/>
      <c r="R2650" s="4"/>
      <c r="S2650" s="4"/>
      <c r="T2650" s="4"/>
      <c r="U2650" s="4"/>
      <c r="V2650" s="4"/>
      <c r="W2650" s="4"/>
      <c r="X2650" s="4"/>
      <c r="Y2650" s="4"/>
      <c r="Z2650" s="4"/>
      <c r="AA2650" s="4"/>
      <c r="AB2650" s="5"/>
    </row>
    <row r="2651" spans="1:28" x14ac:dyDescent="0.35">
      <c r="A2651" s="3"/>
      <c r="B2651" s="4"/>
      <c r="C2651" s="4"/>
      <c r="D2651" s="4"/>
      <c r="E2651" s="4"/>
      <c r="F2651" s="4"/>
      <c r="G2651" s="4"/>
      <c r="H2651" s="4"/>
      <c r="I2651" s="4"/>
      <c r="J2651" s="4"/>
      <c r="K2651" s="4"/>
      <c r="L2651" s="4"/>
      <c r="M2651" s="4"/>
      <c r="N2651" s="4"/>
      <c r="O2651" s="4"/>
      <c r="P2651" s="4"/>
      <c r="Q2651" s="4"/>
      <c r="R2651" s="4"/>
      <c r="S2651" s="4"/>
      <c r="T2651" s="4"/>
      <c r="U2651" s="4"/>
      <c r="V2651" s="4"/>
      <c r="W2651" s="4"/>
      <c r="X2651" s="4"/>
      <c r="Y2651" s="4"/>
      <c r="Z2651" s="4"/>
      <c r="AA2651" s="4"/>
      <c r="AB2651" s="5"/>
    </row>
    <row r="2652" spans="1:28" x14ac:dyDescent="0.35">
      <c r="A2652" s="3"/>
      <c r="B2652" s="4"/>
      <c r="C2652" s="4"/>
      <c r="D2652" s="4"/>
      <c r="E2652" s="4"/>
      <c r="F2652" s="4"/>
      <c r="G2652" s="4"/>
      <c r="H2652" s="4"/>
      <c r="I2652" s="4"/>
      <c r="J2652" s="4"/>
      <c r="K2652" s="4"/>
      <c r="L2652" s="4"/>
      <c r="M2652" s="4"/>
      <c r="N2652" s="4"/>
      <c r="O2652" s="4"/>
      <c r="P2652" s="4"/>
      <c r="Q2652" s="4"/>
      <c r="R2652" s="4"/>
      <c r="S2652" s="4"/>
      <c r="T2652" s="4"/>
      <c r="U2652" s="4"/>
      <c r="V2652" s="4"/>
      <c r="W2652" s="4"/>
      <c r="X2652" s="4"/>
      <c r="Y2652" s="4"/>
      <c r="Z2652" s="4"/>
      <c r="AA2652" s="4"/>
      <c r="AB2652" s="5"/>
    </row>
    <row r="2653" spans="1:28" x14ac:dyDescent="0.35">
      <c r="A2653" s="3"/>
      <c r="B2653" s="4"/>
      <c r="C2653" s="4"/>
      <c r="D2653" s="4"/>
      <c r="E2653" s="4"/>
      <c r="F2653" s="4"/>
      <c r="G2653" s="4"/>
      <c r="H2653" s="4"/>
      <c r="I2653" s="4"/>
      <c r="J2653" s="4"/>
      <c r="K2653" s="4"/>
      <c r="L2653" s="4"/>
      <c r="M2653" s="4"/>
      <c r="N2653" s="4"/>
      <c r="O2653" s="4"/>
      <c r="P2653" s="4"/>
      <c r="Q2653" s="4"/>
      <c r="R2653" s="4"/>
      <c r="S2653" s="4"/>
      <c r="T2653" s="4"/>
      <c r="U2653" s="4"/>
      <c r="V2653" s="4"/>
      <c r="W2653" s="4"/>
      <c r="X2653" s="4"/>
      <c r="Y2653" s="4"/>
      <c r="Z2653" s="4"/>
      <c r="AA2653" s="4"/>
      <c r="AB2653" s="5"/>
    </row>
    <row r="2654" spans="1:28" x14ac:dyDescent="0.35">
      <c r="A2654" s="3"/>
      <c r="B2654" s="4"/>
      <c r="C2654" s="4"/>
      <c r="D2654" s="4"/>
      <c r="E2654" s="4"/>
      <c r="F2654" s="4"/>
      <c r="G2654" s="4"/>
      <c r="H2654" s="4"/>
      <c r="I2654" s="4"/>
      <c r="J2654" s="4"/>
      <c r="K2654" s="4"/>
      <c r="L2654" s="4"/>
      <c r="M2654" s="4"/>
      <c r="N2654" s="4"/>
      <c r="O2654" s="4"/>
      <c r="P2654" s="4"/>
      <c r="Q2654" s="4"/>
      <c r="R2654" s="4"/>
      <c r="S2654" s="4"/>
      <c r="T2654" s="4"/>
      <c r="U2654" s="4"/>
      <c r="V2654" s="4"/>
      <c r="W2654" s="4"/>
      <c r="X2654" s="4"/>
      <c r="Y2654" s="4"/>
      <c r="Z2654" s="4"/>
      <c r="AA2654" s="4"/>
      <c r="AB2654" s="5"/>
    </row>
    <row r="2655" spans="1:28" x14ac:dyDescent="0.35">
      <c r="A2655" s="3"/>
      <c r="B2655" s="4"/>
      <c r="C2655" s="4"/>
      <c r="D2655" s="4"/>
      <c r="E2655" s="4"/>
      <c r="F2655" s="4"/>
      <c r="G2655" s="4"/>
      <c r="H2655" s="4"/>
      <c r="I2655" s="4"/>
      <c r="J2655" s="4"/>
      <c r="K2655" s="4"/>
      <c r="L2655" s="4"/>
      <c r="M2655" s="4"/>
      <c r="N2655" s="4"/>
      <c r="O2655" s="4"/>
      <c r="P2655" s="4"/>
      <c r="Q2655" s="4"/>
      <c r="R2655" s="4"/>
      <c r="S2655" s="4"/>
      <c r="T2655" s="4"/>
      <c r="U2655" s="4"/>
      <c r="V2655" s="4"/>
      <c r="W2655" s="4"/>
      <c r="X2655" s="4"/>
      <c r="Y2655" s="4"/>
      <c r="Z2655" s="4"/>
      <c r="AA2655" s="4"/>
      <c r="AB2655" s="5"/>
    </row>
    <row r="2656" spans="1:28" x14ac:dyDescent="0.35">
      <c r="A2656" s="3"/>
      <c r="B2656" s="4"/>
      <c r="C2656" s="4"/>
      <c r="D2656" s="4"/>
      <c r="E2656" s="4"/>
      <c r="F2656" s="4"/>
      <c r="G2656" s="4"/>
      <c r="H2656" s="4"/>
      <c r="I2656" s="4"/>
      <c r="J2656" s="4"/>
      <c r="K2656" s="4"/>
      <c r="L2656" s="4"/>
      <c r="M2656" s="4"/>
      <c r="N2656" s="4"/>
      <c r="O2656" s="4"/>
      <c r="P2656" s="4"/>
      <c r="Q2656" s="4"/>
      <c r="R2656" s="4"/>
      <c r="S2656" s="4"/>
      <c r="T2656" s="4"/>
      <c r="U2656" s="4"/>
      <c r="V2656" s="4"/>
      <c r="W2656" s="4"/>
      <c r="X2656" s="4"/>
      <c r="Y2656" s="4"/>
      <c r="Z2656" s="4"/>
      <c r="AA2656" s="4"/>
      <c r="AB2656" s="5"/>
    </row>
    <row r="2657" spans="1:28" x14ac:dyDescent="0.35">
      <c r="A2657" s="3"/>
      <c r="B2657" s="4"/>
      <c r="C2657" s="4"/>
      <c r="D2657" s="4"/>
      <c r="E2657" s="4"/>
      <c r="F2657" s="4"/>
      <c r="G2657" s="4"/>
      <c r="H2657" s="4"/>
      <c r="I2657" s="4"/>
      <c r="J2657" s="4"/>
      <c r="K2657" s="4"/>
      <c r="L2657" s="4"/>
      <c r="M2657" s="4"/>
      <c r="N2657" s="4"/>
      <c r="O2657" s="4"/>
      <c r="P2657" s="4"/>
      <c r="Q2657" s="4"/>
      <c r="R2657" s="4"/>
      <c r="S2657" s="4"/>
      <c r="T2657" s="4"/>
      <c r="U2657" s="4"/>
      <c r="V2657" s="4"/>
      <c r="W2657" s="4"/>
      <c r="X2657" s="4"/>
      <c r="Y2657" s="4"/>
      <c r="Z2657" s="4"/>
      <c r="AA2657" s="4"/>
      <c r="AB2657" s="5"/>
    </row>
    <row r="2658" spans="1:28" x14ac:dyDescent="0.35">
      <c r="A2658" s="3"/>
      <c r="B2658" s="4"/>
      <c r="C2658" s="4"/>
      <c r="D2658" s="4"/>
      <c r="E2658" s="4"/>
      <c r="F2658" s="4"/>
      <c r="G2658" s="4"/>
      <c r="H2658" s="4"/>
      <c r="I2658" s="4"/>
      <c r="J2658" s="4"/>
      <c r="K2658" s="4"/>
      <c r="L2658" s="4"/>
      <c r="M2658" s="4"/>
      <c r="N2658" s="4"/>
      <c r="O2658" s="4"/>
      <c r="P2658" s="4"/>
      <c r="Q2658" s="4"/>
      <c r="R2658" s="4"/>
      <c r="S2658" s="4"/>
      <c r="T2658" s="4"/>
      <c r="U2658" s="4"/>
      <c r="V2658" s="4"/>
      <c r="W2658" s="4"/>
      <c r="X2658" s="4"/>
      <c r="Y2658" s="4"/>
      <c r="Z2658" s="4"/>
      <c r="AA2658" s="4"/>
      <c r="AB2658" s="5"/>
    </row>
    <row r="2659" spans="1:28" x14ac:dyDescent="0.35">
      <c r="A2659" s="3"/>
      <c r="B2659" s="4"/>
      <c r="C2659" s="4"/>
      <c r="D2659" s="4"/>
      <c r="E2659" s="4"/>
      <c r="F2659" s="4"/>
      <c r="G2659" s="4"/>
      <c r="H2659" s="4"/>
      <c r="I2659" s="4"/>
      <c r="J2659" s="4"/>
      <c r="K2659" s="4"/>
      <c r="L2659" s="4"/>
      <c r="M2659" s="4"/>
      <c r="N2659" s="4"/>
      <c r="O2659" s="4"/>
      <c r="P2659" s="4"/>
      <c r="Q2659" s="4"/>
      <c r="R2659" s="4"/>
      <c r="S2659" s="4"/>
      <c r="T2659" s="4"/>
      <c r="U2659" s="4"/>
      <c r="V2659" s="4"/>
      <c r="W2659" s="4"/>
      <c r="X2659" s="4"/>
      <c r="Y2659" s="4"/>
      <c r="Z2659" s="4"/>
      <c r="AA2659" s="4"/>
      <c r="AB2659" s="5"/>
    </row>
    <row r="2660" spans="1:28" x14ac:dyDescent="0.35">
      <c r="A2660" s="3"/>
      <c r="B2660" s="4"/>
      <c r="C2660" s="4"/>
      <c r="D2660" s="4"/>
      <c r="E2660" s="4"/>
      <c r="F2660" s="4"/>
      <c r="G2660" s="4"/>
      <c r="H2660" s="4"/>
      <c r="I2660" s="4"/>
      <c r="J2660" s="4"/>
      <c r="K2660" s="4"/>
      <c r="L2660" s="4"/>
      <c r="M2660" s="4"/>
      <c r="N2660" s="4"/>
      <c r="O2660" s="4"/>
      <c r="P2660" s="4"/>
      <c r="Q2660" s="4"/>
      <c r="R2660" s="4"/>
      <c r="S2660" s="4"/>
      <c r="T2660" s="4"/>
      <c r="U2660" s="4"/>
      <c r="V2660" s="4"/>
      <c r="W2660" s="4"/>
      <c r="X2660" s="4"/>
      <c r="Y2660" s="4"/>
      <c r="Z2660" s="4"/>
      <c r="AA2660" s="4"/>
      <c r="AB2660" s="5"/>
    </row>
    <row r="2661" spans="1:28" x14ac:dyDescent="0.35">
      <c r="A2661" s="3"/>
      <c r="B2661" s="4"/>
      <c r="C2661" s="4"/>
      <c r="D2661" s="4"/>
      <c r="E2661" s="4"/>
      <c r="F2661" s="4"/>
      <c r="G2661" s="4"/>
      <c r="H2661" s="4"/>
      <c r="I2661" s="4"/>
      <c r="J2661" s="4"/>
      <c r="K2661" s="4"/>
      <c r="L2661" s="4"/>
      <c r="M2661" s="4"/>
      <c r="N2661" s="4"/>
      <c r="O2661" s="4"/>
      <c r="P2661" s="4"/>
      <c r="Q2661" s="4"/>
      <c r="R2661" s="4"/>
      <c r="S2661" s="4"/>
      <c r="T2661" s="4"/>
      <c r="U2661" s="4"/>
      <c r="V2661" s="4"/>
      <c r="W2661" s="4"/>
      <c r="X2661" s="4"/>
      <c r="Y2661" s="4"/>
      <c r="Z2661" s="4"/>
      <c r="AA2661" s="4"/>
      <c r="AB2661" s="5"/>
    </row>
    <row r="2662" spans="1:28" x14ac:dyDescent="0.35">
      <c r="A2662" s="3"/>
      <c r="B2662" s="4"/>
      <c r="C2662" s="4"/>
      <c r="D2662" s="4"/>
      <c r="E2662" s="4"/>
      <c r="F2662" s="4"/>
      <c r="G2662" s="4"/>
      <c r="H2662" s="4"/>
      <c r="I2662" s="4"/>
      <c r="J2662" s="4"/>
      <c r="K2662" s="4"/>
      <c r="L2662" s="4"/>
      <c r="M2662" s="4"/>
      <c r="N2662" s="4"/>
      <c r="O2662" s="4"/>
      <c r="P2662" s="4"/>
      <c r="Q2662" s="4"/>
      <c r="R2662" s="4"/>
      <c r="S2662" s="4"/>
      <c r="T2662" s="4"/>
      <c r="U2662" s="4"/>
      <c r="V2662" s="4"/>
      <c r="W2662" s="4"/>
      <c r="X2662" s="4"/>
      <c r="Y2662" s="4"/>
      <c r="Z2662" s="4"/>
      <c r="AA2662" s="4"/>
      <c r="AB2662" s="5"/>
    </row>
    <row r="2663" spans="1:28" x14ac:dyDescent="0.35">
      <c r="A2663" s="3"/>
      <c r="B2663" s="4"/>
      <c r="C2663" s="4"/>
      <c r="D2663" s="4"/>
      <c r="E2663" s="4"/>
      <c r="F2663" s="4"/>
      <c r="G2663" s="4"/>
      <c r="H2663" s="4"/>
      <c r="I2663" s="4"/>
      <c r="J2663" s="4"/>
      <c r="K2663" s="4"/>
      <c r="L2663" s="4"/>
      <c r="M2663" s="4"/>
      <c r="N2663" s="4"/>
      <c r="O2663" s="4"/>
      <c r="P2663" s="4"/>
      <c r="Q2663" s="4"/>
      <c r="R2663" s="4"/>
      <c r="S2663" s="4"/>
      <c r="T2663" s="4"/>
      <c r="U2663" s="4"/>
      <c r="V2663" s="4"/>
      <c r="W2663" s="4"/>
      <c r="X2663" s="4"/>
      <c r="Y2663" s="4"/>
      <c r="Z2663" s="4"/>
      <c r="AA2663" s="4"/>
      <c r="AB2663" s="5"/>
    </row>
    <row r="2664" spans="1:28" x14ac:dyDescent="0.35">
      <c r="A2664" s="3"/>
      <c r="B2664" s="4"/>
      <c r="C2664" s="4"/>
      <c r="D2664" s="4"/>
      <c r="E2664" s="4"/>
      <c r="F2664" s="4"/>
      <c r="G2664" s="4"/>
      <c r="H2664" s="4"/>
      <c r="I2664" s="4"/>
      <c r="J2664" s="4"/>
      <c r="K2664" s="4"/>
      <c r="L2664" s="4"/>
      <c r="M2664" s="4"/>
      <c r="N2664" s="4"/>
      <c r="O2664" s="4"/>
      <c r="P2664" s="4"/>
      <c r="Q2664" s="4"/>
      <c r="R2664" s="4"/>
      <c r="S2664" s="4"/>
      <c r="T2664" s="4"/>
      <c r="U2664" s="4"/>
      <c r="V2664" s="4"/>
      <c r="W2664" s="4"/>
      <c r="X2664" s="4"/>
      <c r="Y2664" s="4"/>
      <c r="Z2664" s="4"/>
      <c r="AA2664" s="4"/>
      <c r="AB2664" s="5"/>
    </row>
    <row r="2665" spans="1:28" x14ac:dyDescent="0.35">
      <c r="A2665" s="3"/>
      <c r="B2665" s="4"/>
      <c r="C2665" s="4"/>
      <c r="D2665" s="4"/>
      <c r="E2665" s="4"/>
      <c r="F2665" s="4"/>
      <c r="G2665" s="4"/>
      <c r="H2665" s="4"/>
      <c r="I2665" s="4"/>
      <c r="J2665" s="4"/>
      <c r="K2665" s="4"/>
      <c r="L2665" s="4"/>
      <c r="M2665" s="4"/>
      <c r="N2665" s="4"/>
      <c r="O2665" s="4"/>
      <c r="P2665" s="4"/>
      <c r="Q2665" s="4"/>
      <c r="R2665" s="4"/>
      <c r="S2665" s="4"/>
      <c r="T2665" s="4"/>
      <c r="U2665" s="4"/>
      <c r="V2665" s="4"/>
      <c r="W2665" s="4"/>
      <c r="X2665" s="4"/>
      <c r="Y2665" s="4"/>
      <c r="Z2665" s="4"/>
      <c r="AA2665" s="4"/>
      <c r="AB2665" s="5"/>
    </row>
    <row r="2666" spans="1:28" x14ac:dyDescent="0.35">
      <c r="A2666" s="3"/>
      <c r="B2666" s="4"/>
      <c r="C2666" s="4"/>
      <c r="D2666" s="4"/>
      <c r="E2666" s="4"/>
      <c r="F2666" s="4"/>
      <c r="G2666" s="4"/>
      <c r="H2666" s="4"/>
      <c r="I2666" s="4"/>
      <c r="J2666" s="4"/>
      <c r="K2666" s="4"/>
      <c r="L2666" s="4"/>
      <c r="M2666" s="4"/>
      <c r="N2666" s="4"/>
      <c r="O2666" s="4"/>
      <c r="P2666" s="4"/>
      <c r="Q2666" s="4"/>
      <c r="R2666" s="4"/>
      <c r="S2666" s="4"/>
      <c r="T2666" s="4"/>
      <c r="U2666" s="4"/>
      <c r="V2666" s="4"/>
      <c r="W2666" s="4"/>
      <c r="X2666" s="4"/>
      <c r="Y2666" s="4"/>
      <c r="Z2666" s="4"/>
      <c r="AA2666" s="4"/>
      <c r="AB2666" s="5"/>
    </row>
    <row r="2667" spans="1:28" x14ac:dyDescent="0.35">
      <c r="A2667" s="3"/>
      <c r="B2667" s="4"/>
      <c r="C2667" s="4"/>
      <c r="D2667" s="4"/>
      <c r="E2667" s="4"/>
      <c r="F2667" s="4"/>
      <c r="G2667" s="4"/>
      <c r="H2667" s="4"/>
      <c r="I2667" s="4"/>
      <c r="J2667" s="4"/>
      <c r="K2667" s="4"/>
      <c r="L2667" s="4"/>
      <c r="M2667" s="4"/>
      <c r="N2667" s="4"/>
      <c r="O2667" s="4"/>
      <c r="P2667" s="4"/>
      <c r="Q2667" s="4"/>
      <c r="R2667" s="4"/>
      <c r="S2667" s="4"/>
      <c r="T2667" s="4"/>
      <c r="U2667" s="4"/>
      <c r="V2667" s="4"/>
      <c r="W2667" s="4"/>
      <c r="X2667" s="4"/>
      <c r="Y2667" s="4"/>
      <c r="Z2667" s="4"/>
      <c r="AA2667" s="4"/>
      <c r="AB2667" s="5"/>
    </row>
    <row r="2668" spans="1:28" x14ac:dyDescent="0.35">
      <c r="A2668" s="3"/>
      <c r="B2668" s="4"/>
      <c r="C2668" s="4"/>
      <c r="D2668" s="4"/>
      <c r="E2668" s="4"/>
      <c r="F2668" s="4"/>
      <c r="G2668" s="4"/>
      <c r="H2668" s="4"/>
      <c r="I2668" s="4"/>
      <c r="J2668" s="4"/>
      <c r="K2668" s="4"/>
      <c r="L2668" s="4"/>
      <c r="M2668" s="4"/>
      <c r="N2668" s="4"/>
      <c r="O2668" s="4"/>
      <c r="P2668" s="4"/>
      <c r="Q2668" s="4"/>
      <c r="R2668" s="4"/>
      <c r="S2668" s="4"/>
      <c r="T2668" s="4"/>
      <c r="U2668" s="4"/>
      <c r="V2668" s="4"/>
      <c r="W2668" s="4"/>
      <c r="X2668" s="4"/>
      <c r="Y2668" s="4"/>
      <c r="Z2668" s="4"/>
      <c r="AA2668" s="4"/>
      <c r="AB2668" s="5"/>
    </row>
    <row r="2669" spans="1:28" x14ac:dyDescent="0.35">
      <c r="A2669" s="3"/>
      <c r="B2669" s="4"/>
      <c r="C2669" s="4"/>
      <c r="D2669" s="4"/>
      <c r="E2669" s="4"/>
      <c r="F2669" s="4"/>
      <c r="G2669" s="4"/>
      <c r="H2669" s="4"/>
      <c r="I2669" s="4"/>
      <c r="J2669" s="4"/>
      <c r="K2669" s="4"/>
      <c r="L2669" s="4"/>
      <c r="M2669" s="4"/>
      <c r="N2669" s="4"/>
      <c r="O2669" s="4"/>
      <c r="P2669" s="4"/>
      <c r="Q2669" s="4"/>
      <c r="R2669" s="4"/>
      <c r="S2669" s="4"/>
      <c r="T2669" s="4"/>
      <c r="U2669" s="4"/>
      <c r="V2669" s="4"/>
      <c r="W2669" s="4"/>
      <c r="X2669" s="4"/>
      <c r="Y2669" s="4"/>
      <c r="Z2669" s="4"/>
      <c r="AA2669" s="4"/>
      <c r="AB2669" s="5"/>
    </row>
    <row r="2670" spans="1:28" x14ac:dyDescent="0.35">
      <c r="A2670" s="3"/>
      <c r="B2670" s="4"/>
      <c r="C2670" s="4"/>
      <c r="D2670" s="4"/>
      <c r="E2670" s="4"/>
      <c r="F2670" s="4"/>
      <c r="G2670" s="4"/>
      <c r="H2670" s="4"/>
      <c r="I2670" s="4"/>
      <c r="J2670" s="4"/>
      <c r="K2670" s="4"/>
      <c r="L2670" s="4"/>
      <c r="M2670" s="4"/>
      <c r="N2670" s="4"/>
      <c r="O2670" s="4"/>
      <c r="P2670" s="4"/>
      <c r="Q2670" s="4"/>
      <c r="R2670" s="4"/>
      <c r="S2670" s="4"/>
      <c r="T2670" s="4"/>
      <c r="U2670" s="4"/>
      <c r="V2670" s="4"/>
      <c r="W2670" s="4"/>
      <c r="X2670" s="4"/>
      <c r="Y2670" s="4"/>
      <c r="Z2670" s="4"/>
      <c r="AA2670" s="4"/>
      <c r="AB2670" s="5"/>
    </row>
    <row r="2671" spans="1:28" x14ac:dyDescent="0.35">
      <c r="A2671" s="3"/>
      <c r="B2671" s="4"/>
      <c r="C2671" s="4"/>
      <c r="D2671" s="4"/>
      <c r="E2671" s="4"/>
      <c r="F2671" s="4"/>
      <c r="G2671" s="4"/>
      <c r="H2671" s="4"/>
      <c r="I2671" s="4"/>
      <c r="J2671" s="4"/>
      <c r="K2671" s="4"/>
      <c r="L2671" s="4"/>
      <c r="M2671" s="4"/>
      <c r="N2671" s="4"/>
      <c r="O2671" s="4"/>
      <c r="P2671" s="4"/>
      <c r="Q2671" s="4"/>
      <c r="R2671" s="4"/>
      <c r="S2671" s="4"/>
      <c r="T2671" s="4"/>
      <c r="U2671" s="4"/>
      <c r="V2671" s="4"/>
      <c r="W2671" s="4"/>
      <c r="X2671" s="4"/>
      <c r="Y2671" s="4"/>
      <c r="Z2671" s="4"/>
      <c r="AA2671" s="4"/>
      <c r="AB2671" s="5"/>
    </row>
    <row r="2672" spans="1:28" x14ac:dyDescent="0.35">
      <c r="A2672" s="3"/>
      <c r="B2672" s="4"/>
      <c r="C2672" s="4"/>
      <c r="D2672" s="4"/>
      <c r="E2672" s="4"/>
      <c r="F2672" s="4"/>
      <c r="G2672" s="4"/>
      <c r="H2672" s="4"/>
      <c r="I2672" s="4"/>
      <c r="J2672" s="4"/>
      <c r="K2672" s="4"/>
      <c r="L2672" s="4"/>
      <c r="M2672" s="4"/>
      <c r="N2672" s="4"/>
      <c r="O2672" s="4"/>
      <c r="P2672" s="4"/>
      <c r="Q2672" s="4"/>
      <c r="R2672" s="4"/>
      <c r="S2672" s="4"/>
      <c r="T2672" s="4"/>
      <c r="U2672" s="4"/>
      <c r="V2672" s="4"/>
      <c r="W2672" s="4"/>
      <c r="X2672" s="4"/>
      <c r="Y2672" s="4"/>
      <c r="Z2672" s="4"/>
      <c r="AA2672" s="4"/>
      <c r="AB2672" s="5"/>
    </row>
    <row r="2673" spans="1:28" x14ac:dyDescent="0.35">
      <c r="A2673" s="3"/>
      <c r="B2673" s="4"/>
      <c r="C2673" s="4"/>
      <c r="D2673" s="4"/>
      <c r="E2673" s="4"/>
      <c r="F2673" s="4"/>
      <c r="G2673" s="4"/>
      <c r="H2673" s="4"/>
      <c r="I2673" s="4"/>
      <c r="J2673" s="4"/>
      <c r="K2673" s="4"/>
      <c r="L2673" s="4"/>
      <c r="M2673" s="4"/>
      <c r="N2673" s="4"/>
      <c r="O2673" s="4"/>
      <c r="P2673" s="4"/>
      <c r="Q2673" s="4"/>
      <c r="R2673" s="4"/>
      <c r="S2673" s="4"/>
      <c r="T2673" s="4"/>
      <c r="U2673" s="4"/>
      <c r="V2673" s="4"/>
      <c r="W2673" s="4"/>
      <c r="X2673" s="4"/>
      <c r="Y2673" s="4"/>
      <c r="Z2673" s="4"/>
      <c r="AA2673" s="4"/>
      <c r="AB2673" s="5"/>
    </row>
    <row r="2674" spans="1:28" x14ac:dyDescent="0.35">
      <c r="A2674" s="3"/>
      <c r="B2674" s="4"/>
      <c r="C2674" s="4"/>
      <c r="D2674" s="4"/>
      <c r="E2674" s="4"/>
      <c r="F2674" s="4"/>
      <c r="G2674" s="4"/>
      <c r="H2674" s="4"/>
      <c r="I2674" s="4"/>
      <c r="J2674" s="4"/>
      <c r="K2674" s="4"/>
      <c r="L2674" s="4"/>
      <c r="M2674" s="4"/>
      <c r="N2674" s="4"/>
      <c r="O2674" s="4"/>
      <c r="P2674" s="4"/>
      <c r="Q2674" s="4"/>
      <c r="R2674" s="4"/>
      <c r="S2674" s="4"/>
      <c r="T2674" s="4"/>
      <c r="U2674" s="4"/>
      <c r="V2674" s="4"/>
      <c r="W2674" s="4"/>
      <c r="X2674" s="4"/>
      <c r="Y2674" s="4"/>
      <c r="Z2674" s="4"/>
      <c r="AA2674" s="4"/>
      <c r="AB2674" s="5"/>
    </row>
    <row r="2675" spans="1:28" x14ac:dyDescent="0.35">
      <c r="A2675" s="3"/>
      <c r="B2675" s="4"/>
      <c r="C2675" s="4"/>
      <c r="D2675" s="4"/>
      <c r="E2675" s="4"/>
      <c r="F2675" s="4"/>
      <c r="G2675" s="4"/>
      <c r="H2675" s="4"/>
      <c r="I2675" s="4"/>
      <c r="J2675" s="4"/>
      <c r="K2675" s="4"/>
      <c r="L2675" s="4"/>
      <c r="M2675" s="4"/>
      <c r="N2675" s="4"/>
      <c r="O2675" s="4"/>
      <c r="P2675" s="4"/>
      <c r="Q2675" s="4"/>
      <c r="R2675" s="4"/>
      <c r="S2675" s="4"/>
      <c r="T2675" s="4"/>
      <c r="U2675" s="4"/>
      <c r="V2675" s="4"/>
      <c r="W2675" s="4"/>
      <c r="X2675" s="4"/>
      <c r="Y2675" s="4"/>
      <c r="Z2675" s="4"/>
      <c r="AA2675" s="4"/>
      <c r="AB2675" s="5"/>
    </row>
    <row r="2676" spans="1:28" x14ac:dyDescent="0.35">
      <c r="A2676" s="3"/>
      <c r="B2676" s="4"/>
      <c r="C2676" s="4"/>
      <c r="D2676" s="4"/>
      <c r="E2676" s="4"/>
      <c r="F2676" s="4"/>
      <c r="G2676" s="4"/>
      <c r="H2676" s="4"/>
      <c r="I2676" s="4"/>
      <c r="J2676" s="4"/>
      <c r="K2676" s="4"/>
      <c r="L2676" s="4"/>
      <c r="M2676" s="4"/>
      <c r="N2676" s="4"/>
      <c r="O2676" s="4"/>
      <c r="P2676" s="4"/>
      <c r="Q2676" s="4"/>
      <c r="R2676" s="4"/>
      <c r="S2676" s="4"/>
      <c r="T2676" s="4"/>
      <c r="U2676" s="4"/>
      <c r="V2676" s="4"/>
      <c r="W2676" s="4"/>
      <c r="X2676" s="4"/>
      <c r="Y2676" s="4"/>
      <c r="Z2676" s="4"/>
      <c r="AA2676" s="4"/>
      <c r="AB2676" s="5"/>
    </row>
    <row r="2677" spans="1:28" x14ac:dyDescent="0.35">
      <c r="A2677" s="3"/>
      <c r="B2677" s="4"/>
      <c r="C2677" s="4"/>
      <c r="D2677" s="4"/>
      <c r="E2677" s="4"/>
      <c r="F2677" s="4"/>
      <c r="G2677" s="4"/>
      <c r="H2677" s="4"/>
      <c r="I2677" s="4"/>
      <c r="J2677" s="4"/>
      <c r="K2677" s="4"/>
      <c r="L2677" s="4"/>
      <c r="M2677" s="4"/>
      <c r="N2677" s="4"/>
      <c r="O2677" s="4"/>
      <c r="P2677" s="4"/>
      <c r="Q2677" s="4"/>
      <c r="R2677" s="4"/>
      <c r="S2677" s="4"/>
      <c r="T2677" s="4"/>
      <c r="U2677" s="4"/>
      <c r="V2677" s="4"/>
      <c r="W2677" s="4"/>
      <c r="X2677" s="4"/>
      <c r="Y2677" s="4"/>
      <c r="Z2677" s="4"/>
      <c r="AA2677" s="4"/>
      <c r="AB2677" s="5"/>
    </row>
    <row r="2678" spans="1:28" x14ac:dyDescent="0.35">
      <c r="A2678" s="3"/>
      <c r="B2678" s="4"/>
      <c r="C2678" s="4"/>
      <c r="D2678" s="4"/>
      <c r="E2678" s="4"/>
      <c r="F2678" s="4"/>
      <c r="G2678" s="4"/>
      <c r="H2678" s="4"/>
      <c r="I2678" s="4"/>
      <c r="J2678" s="4"/>
      <c r="K2678" s="4"/>
      <c r="L2678" s="4"/>
      <c r="M2678" s="4"/>
      <c r="N2678" s="4"/>
      <c r="O2678" s="4"/>
      <c r="P2678" s="4"/>
      <c r="Q2678" s="4"/>
      <c r="R2678" s="4"/>
      <c r="S2678" s="4"/>
      <c r="T2678" s="4"/>
      <c r="U2678" s="4"/>
      <c r="V2678" s="4"/>
      <c r="W2678" s="4"/>
      <c r="X2678" s="4"/>
      <c r="Y2678" s="4"/>
      <c r="Z2678" s="4"/>
      <c r="AA2678" s="4"/>
      <c r="AB2678" s="5"/>
    </row>
    <row r="2679" spans="1:28" x14ac:dyDescent="0.35">
      <c r="A2679" s="3"/>
      <c r="B2679" s="4"/>
      <c r="C2679" s="4"/>
      <c r="D2679" s="4"/>
      <c r="E2679" s="4"/>
      <c r="F2679" s="4"/>
      <c r="G2679" s="4"/>
      <c r="H2679" s="4"/>
      <c r="I2679" s="4"/>
      <c r="J2679" s="4"/>
      <c r="K2679" s="4"/>
      <c r="L2679" s="4"/>
      <c r="M2679" s="4"/>
      <c r="N2679" s="4"/>
      <c r="O2679" s="4"/>
      <c r="P2679" s="4"/>
      <c r="Q2679" s="4"/>
      <c r="R2679" s="4"/>
      <c r="S2679" s="4"/>
      <c r="T2679" s="4"/>
      <c r="U2679" s="4"/>
      <c r="V2679" s="4"/>
      <c r="W2679" s="4"/>
      <c r="X2679" s="4"/>
      <c r="Y2679" s="4"/>
      <c r="Z2679" s="4"/>
      <c r="AA2679" s="4"/>
      <c r="AB2679" s="5"/>
    </row>
    <row r="2680" spans="1:28" x14ac:dyDescent="0.35">
      <c r="A2680" s="3"/>
      <c r="B2680" s="4"/>
      <c r="C2680" s="4"/>
      <c r="D2680" s="4"/>
      <c r="E2680" s="4"/>
      <c r="F2680" s="4"/>
      <c r="G2680" s="4"/>
      <c r="H2680" s="4"/>
      <c r="I2680" s="4"/>
      <c r="J2680" s="4"/>
      <c r="K2680" s="4"/>
      <c r="L2680" s="4"/>
      <c r="M2680" s="4"/>
      <c r="N2680" s="4"/>
      <c r="O2680" s="4"/>
      <c r="P2680" s="4"/>
      <c r="Q2680" s="4"/>
      <c r="R2680" s="4"/>
      <c r="S2680" s="4"/>
      <c r="T2680" s="4"/>
      <c r="U2680" s="4"/>
      <c r="V2680" s="4"/>
      <c r="W2680" s="4"/>
      <c r="X2680" s="4"/>
      <c r="Y2680" s="4"/>
      <c r="Z2680" s="4"/>
      <c r="AA2680" s="4"/>
      <c r="AB2680" s="5"/>
    </row>
    <row r="2681" spans="1:28" x14ac:dyDescent="0.35">
      <c r="A2681" s="3"/>
      <c r="B2681" s="4"/>
      <c r="C2681" s="4"/>
      <c r="D2681" s="4"/>
      <c r="E2681" s="4"/>
      <c r="F2681" s="4"/>
      <c r="G2681" s="4"/>
      <c r="H2681" s="4"/>
      <c r="I2681" s="4"/>
      <c r="J2681" s="4"/>
      <c r="K2681" s="4"/>
      <c r="L2681" s="4"/>
      <c r="M2681" s="4"/>
      <c r="N2681" s="4"/>
      <c r="O2681" s="4"/>
      <c r="P2681" s="4"/>
      <c r="Q2681" s="4"/>
      <c r="R2681" s="4"/>
      <c r="S2681" s="4"/>
      <c r="T2681" s="4"/>
      <c r="U2681" s="4"/>
      <c r="V2681" s="4"/>
      <c r="W2681" s="4"/>
      <c r="X2681" s="4"/>
      <c r="Y2681" s="4"/>
      <c r="Z2681" s="4"/>
      <c r="AA2681" s="4"/>
      <c r="AB2681" s="5"/>
    </row>
    <row r="2682" spans="1:28" x14ac:dyDescent="0.35">
      <c r="A2682" s="3"/>
      <c r="B2682" s="4"/>
      <c r="C2682" s="4"/>
      <c r="D2682" s="4"/>
      <c r="E2682" s="4"/>
      <c r="F2682" s="4"/>
      <c r="G2682" s="4"/>
      <c r="H2682" s="4"/>
      <c r="I2682" s="4"/>
      <c r="J2682" s="4"/>
      <c r="K2682" s="4"/>
      <c r="L2682" s="4"/>
      <c r="M2682" s="4"/>
      <c r="N2682" s="4"/>
      <c r="O2682" s="4"/>
      <c r="P2682" s="4"/>
      <c r="Q2682" s="4"/>
      <c r="R2682" s="4"/>
      <c r="S2682" s="4"/>
      <c r="T2682" s="4"/>
      <c r="U2682" s="4"/>
      <c r="V2682" s="4"/>
      <c r="W2682" s="4"/>
      <c r="X2682" s="4"/>
      <c r="Y2682" s="4"/>
      <c r="Z2682" s="4"/>
      <c r="AA2682" s="4"/>
      <c r="AB2682" s="5"/>
    </row>
    <row r="2683" spans="1:28" x14ac:dyDescent="0.35">
      <c r="A2683" s="3"/>
      <c r="B2683" s="4"/>
      <c r="C2683" s="4"/>
      <c r="D2683" s="4"/>
      <c r="E2683" s="4"/>
      <c r="F2683" s="4"/>
      <c r="G2683" s="4"/>
      <c r="H2683" s="4"/>
      <c r="I2683" s="4"/>
      <c r="J2683" s="4"/>
      <c r="K2683" s="4"/>
      <c r="L2683" s="4"/>
      <c r="M2683" s="4"/>
      <c r="N2683" s="4"/>
      <c r="O2683" s="4"/>
      <c r="P2683" s="4"/>
      <c r="Q2683" s="4"/>
      <c r="R2683" s="4"/>
      <c r="S2683" s="4"/>
      <c r="T2683" s="4"/>
      <c r="U2683" s="4"/>
      <c r="V2683" s="4"/>
      <c r="W2683" s="4"/>
      <c r="X2683" s="4"/>
      <c r="Y2683" s="4"/>
      <c r="Z2683" s="4"/>
      <c r="AA2683" s="4"/>
      <c r="AB2683" s="5"/>
    </row>
    <row r="2684" spans="1:28" x14ac:dyDescent="0.35">
      <c r="A2684" s="3"/>
      <c r="B2684" s="4"/>
      <c r="C2684" s="4"/>
      <c r="D2684" s="4"/>
      <c r="E2684" s="4"/>
      <c r="F2684" s="4"/>
      <c r="G2684" s="4"/>
      <c r="H2684" s="4"/>
      <c r="I2684" s="4"/>
      <c r="J2684" s="4"/>
      <c r="K2684" s="4"/>
      <c r="L2684" s="4"/>
      <c r="M2684" s="4"/>
      <c r="N2684" s="4"/>
      <c r="O2684" s="4"/>
      <c r="P2684" s="4"/>
      <c r="Q2684" s="4"/>
      <c r="R2684" s="4"/>
      <c r="S2684" s="4"/>
      <c r="T2684" s="4"/>
      <c r="U2684" s="4"/>
      <c r="V2684" s="4"/>
      <c r="W2684" s="4"/>
      <c r="X2684" s="4"/>
      <c r="Y2684" s="4"/>
      <c r="Z2684" s="4"/>
      <c r="AA2684" s="4"/>
      <c r="AB2684" s="5"/>
    </row>
    <row r="2685" spans="1:28" x14ac:dyDescent="0.35">
      <c r="A2685" s="3"/>
      <c r="B2685" s="4"/>
      <c r="C2685" s="4"/>
      <c r="D2685" s="4"/>
      <c r="E2685" s="4"/>
      <c r="F2685" s="4"/>
      <c r="G2685" s="4"/>
      <c r="H2685" s="4"/>
      <c r="I2685" s="4"/>
      <c r="J2685" s="4"/>
      <c r="K2685" s="4"/>
      <c r="L2685" s="4"/>
      <c r="M2685" s="4"/>
      <c r="N2685" s="4"/>
      <c r="O2685" s="4"/>
      <c r="P2685" s="4"/>
      <c r="Q2685" s="4"/>
      <c r="R2685" s="4"/>
      <c r="S2685" s="4"/>
      <c r="T2685" s="4"/>
      <c r="U2685" s="4"/>
      <c r="V2685" s="4"/>
      <c r="W2685" s="4"/>
      <c r="X2685" s="4"/>
      <c r="Y2685" s="4"/>
      <c r="Z2685" s="4"/>
      <c r="AA2685" s="4"/>
      <c r="AB2685" s="5"/>
    </row>
    <row r="2686" spans="1:28" x14ac:dyDescent="0.35">
      <c r="A2686" s="3"/>
      <c r="B2686" s="4"/>
      <c r="C2686" s="4"/>
      <c r="D2686" s="4"/>
      <c r="E2686" s="4"/>
      <c r="F2686" s="4"/>
      <c r="G2686" s="4"/>
      <c r="H2686" s="4"/>
      <c r="I2686" s="4"/>
      <c r="J2686" s="4"/>
      <c r="K2686" s="4"/>
      <c r="L2686" s="4"/>
      <c r="M2686" s="4"/>
      <c r="N2686" s="4"/>
      <c r="O2686" s="4"/>
      <c r="P2686" s="4"/>
      <c r="Q2686" s="4"/>
      <c r="R2686" s="4"/>
      <c r="S2686" s="4"/>
      <c r="T2686" s="4"/>
      <c r="U2686" s="4"/>
      <c r="V2686" s="4"/>
      <c r="W2686" s="4"/>
      <c r="X2686" s="4"/>
      <c r="Y2686" s="4"/>
      <c r="Z2686" s="4"/>
      <c r="AA2686" s="4"/>
      <c r="AB2686" s="5"/>
    </row>
    <row r="2687" spans="1:28" x14ac:dyDescent="0.35">
      <c r="A2687" s="3"/>
      <c r="B2687" s="4"/>
      <c r="C2687" s="4"/>
      <c r="D2687" s="4"/>
      <c r="E2687" s="4"/>
      <c r="F2687" s="4"/>
      <c r="G2687" s="4"/>
      <c r="H2687" s="4"/>
      <c r="I2687" s="4"/>
      <c r="J2687" s="4"/>
      <c r="K2687" s="4"/>
      <c r="L2687" s="4"/>
      <c r="M2687" s="4"/>
      <c r="N2687" s="4"/>
      <c r="O2687" s="4"/>
      <c r="P2687" s="4"/>
      <c r="Q2687" s="4"/>
      <c r="R2687" s="4"/>
      <c r="S2687" s="4"/>
      <c r="T2687" s="4"/>
      <c r="U2687" s="4"/>
      <c r="V2687" s="4"/>
      <c r="W2687" s="4"/>
      <c r="X2687" s="4"/>
      <c r="Y2687" s="4"/>
      <c r="Z2687" s="4"/>
      <c r="AA2687" s="4"/>
      <c r="AB2687" s="5"/>
    </row>
    <row r="2688" spans="1:28" x14ac:dyDescent="0.35">
      <c r="A2688" s="3"/>
      <c r="B2688" s="4"/>
      <c r="C2688" s="4"/>
      <c r="D2688" s="4"/>
      <c r="E2688" s="4"/>
      <c r="F2688" s="4"/>
      <c r="G2688" s="4"/>
      <c r="H2688" s="4"/>
      <c r="I2688" s="4"/>
      <c r="J2688" s="4"/>
      <c r="K2688" s="4"/>
      <c r="L2688" s="4"/>
      <c r="M2688" s="4"/>
      <c r="N2688" s="4"/>
      <c r="O2688" s="4"/>
      <c r="P2688" s="4"/>
      <c r="Q2688" s="4"/>
      <c r="R2688" s="4"/>
      <c r="S2688" s="4"/>
      <c r="T2688" s="4"/>
      <c r="U2688" s="4"/>
      <c r="V2688" s="4"/>
      <c r="W2688" s="4"/>
      <c r="X2688" s="4"/>
      <c r="Y2688" s="4"/>
      <c r="Z2688" s="4"/>
      <c r="AA2688" s="4"/>
      <c r="AB2688" s="5"/>
    </row>
    <row r="2689" spans="1:28" x14ac:dyDescent="0.35">
      <c r="A2689" s="3"/>
      <c r="B2689" s="4"/>
      <c r="C2689" s="4"/>
      <c r="D2689" s="4"/>
      <c r="E2689" s="4"/>
      <c r="F2689" s="4"/>
      <c r="G2689" s="4"/>
      <c r="H2689" s="4"/>
      <c r="I2689" s="4"/>
      <c r="J2689" s="4"/>
      <c r="K2689" s="4"/>
      <c r="L2689" s="4"/>
      <c r="M2689" s="4"/>
      <c r="N2689" s="4"/>
      <c r="O2689" s="4"/>
      <c r="P2689" s="4"/>
      <c r="Q2689" s="4"/>
      <c r="R2689" s="4"/>
      <c r="S2689" s="4"/>
      <c r="T2689" s="4"/>
      <c r="U2689" s="4"/>
      <c r="V2689" s="4"/>
      <c r="W2689" s="4"/>
      <c r="X2689" s="4"/>
      <c r="Y2689" s="4"/>
      <c r="Z2689" s="4"/>
      <c r="AA2689" s="4"/>
      <c r="AB2689" s="5"/>
    </row>
    <row r="2690" spans="1:28" x14ac:dyDescent="0.35">
      <c r="A2690" s="3"/>
      <c r="B2690" s="4"/>
      <c r="C2690" s="4"/>
      <c r="D2690" s="4"/>
      <c r="E2690" s="4"/>
      <c r="F2690" s="4"/>
      <c r="G2690" s="4"/>
      <c r="H2690" s="4"/>
      <c r="I2690" s="4"/>
      <c r="J2690" s="4"/>
      <c r="K2690" s="4"/>
      <c r="L2690" s="4"/>
      <c r="M2690" s="4"/>
      <c r="N2690" s="4"/>
      <c r="O2690" s="4"/>
      <c r="P2690" s="4"/>
      <c r="Q2690" s="4"/>
      <c r="R2690" s="4"/>
      <c r="S2690" s="4"/>
      <c r="T2690" s="4"/>
      <c r="U2690" s="4"/>
      <c r="V2690" s="4"/>
      <c r="W2690" s="4"/>
      <c r="X2690" s="4"/>
      <c r="Y2690" s="4"/>
      <c r="Z2690" s="4"/>
      <c r="AA2690" s="4"/>
      <c r="AB2690" s="5"/>
    </row>
    <row r="2691" spans="1:28" x14ac:dyDescent="0.35">
      <c r="A2691" s="3"/>
      <c r="B2691" s="4"/>
      <c r="C2691" s="4"/>
      <c r="D2691" s="4"/>
      <c r="E2691" s="4"/>
      <c r="F2691" s="4"/>
      <c r="G2691" s="4"/>
      <c r="H2691" s="4"/>
      <c r="I2691" s="4"/>
      <c r="J2691" s="4"/>
      <c r="K2691" s="4"/>
      <c r="L2691" s="4"/>
      <c r="M2691" s="4"/>
      <c r="N2691" s="4"/>
      <c r="O2691" s="4"/>
      <c r="P2691" s="4"/>
      <c r="Q2691" s="4"/>
      <c r="R2691" s="4"/>
      <c r="S2691" s="4"/>
      <c r="T2691" s="4"/>
      <c r="U2691" s="4"/>
      <c r="V2691" s="4"/>
      <c r="W2691" s="4"/>
      <c r="X2691" s="4"/>
      <c r="Y2691" s="4"/>
      <c r="Z2691" s="4"/>
      <c r="AA2691" s="4"/>
      <c r="AB2691" s="5"/>
    </row>
    <row r="2692" spans="1:28" x14ac:dyDescent="0.35">
      <c r="A2692" s="3"/>
      <c r="B2692" s="4"/>
      <c r="C2692" s="4"/>
      <c r="D2692" s="4"/>
      <c r="E2692" s="4"/>
      <c r="F2692" s="4"/>
      <c r="G2692" s="4"/>
      <c r="H2692" s="4"/>
      <c r="I2692" s="4"/>
      <c r="J2692" s="4"/>
      <c r="K2692" s="4"/>
      <c r="L2692" s="4"/>
      <c r="M2692" s="4"/>
      <c r="N2692" s="4"/>
      <c r="O2692" s="4"/>
      <c r="P2692" s="4"/>
      <c r="Q2692" s="4"/>
      <c r="R2692" s="4"/>
      <c r="S2692" s="4"/>
      <c r="T2692" s="4"/>
      <c r="U2692" s="4"/>
      <c r="V2692" s="4"/>
      <c r="W2692" s="4"/>
      <c r="X2692" s="4"/>
      <c r="Y2692" s="4"/>
      <c r="Z2692" s="4"/>
      <c r="AA2692" s="4"/>
      <c r="AB2692" s="5"/>
    </row>
    <row r="2693" spans="1:28" x14ac:dyDescent="0.35">
      <c r="A2693" s="3"/>
      <c r="B2693" s="4"/>
      <c r="C2693" s="4"/>
      <c r="D2693" s="4"/>
      <c r="E2693" s="4"/>
      <c r="F2693" s="4"/>
      <c r="G2693" s="4"/>
      <c r="H2693" s="4"/>
      <c r="I2693" s="4"/>
      <c r="J2693" s="4"/>
      <c r="K2693" s="4"/>
      <c r="L2693" s="4"/>
      <c r="M2693" s="4"/>
      <c r="N2693" s="4"/>
      <c r="O2693" s="4"/>
      <c r="P2693" s="4"/>
      <c r="Q2693" s="4"/>
      <c r="R2693" s="4"/>
      <c r="S2693" s="4"/>
      <c r="T2693" s="4"/>
      <c r="U2693" s="4"/>
      <c r="V2693" s="4"/>
      <c r="W2693" s="4"/>
      <c r="X2693" s="4"/>
      <c r="Y2693" s="4"/>
      <c r="Z2693" s="4"/>
      <c r="AA2693" s="4"/>
      <c r="AB2693" s="5"/>
    </row>
    <row r="2694" spans="1:28" x14ac:dyDescent="0.35">
      <c r="A2694" s="3"/>
      <c r="B2694" s="4"/>
      <c r="C2694" s="4"/>
      <c r="D2694" s="4"/>
      <c r="E2694" s="4"/>
      <c r="F2694" s="4"/>
      <c r="G2694" s="4"/>
      <c r="H2694" s="4"/>
      <c r="I2694" s="4"/>
      <c r="J2694" s="4"/>
      <c r="K2694" s="4"/>
      <c r="L2694" s="4"/>
      <c r="M2694" s="4"/>
      <c r="N2694" s="4"/>
      <c r="O2694" s="4"/>
      <c r="P2694" s="4"/>
      <c r="Q2694" s="4"/>
      <c r="R2694" s="4"/>
      <c r="S2694" s="4"/>
      <c r="T2694" s="4"/>
      <c r="U2694" s="4"/>
      <c r="V2694" s="4"/>
      <c r="W2694" s="4"/>
      <c r="X2694" s="4"/>
      <c r="Y2694" s="4"/>
      <c r="Z2694" s="4"/>
      <c r="AA2694" s="4"/>
      <c r="AB2694" s="5"/>
    </row>
    <row r="2695" spans="1:28" x14ac:dyDescent="0.35">
      <c r="A2695" s="3"/>
      <c r="B2695" s="4"/>
      <c r="C2695" s="4"/>
      <c r="D2695" s="4"/>
      <c r="E2695" s="4"/>
      <c r="F2695" s="4"/>
      <c r="G2695" s="4"/>
      <c r="H2695" s="4"/>
      <c r="I2695" s="4"/>
      <c r="J2695" s="4"/>
      <c r="K2695" s="4"/>
      <c r="L2695" s="4"/>
      <c r="M2695" s="4"/>
      <c r="N2695" s="4"/>
      <c r="O2695" s="4"/>
      <c r="P2695" s="4"/>
      <c r="Q2695" s="4"/>
      <c r="R2695" s="4"/>
      <c r="S2695" s="4"/>
      <c r="T2695" s="4"/>
      <c r="U2695" s="4"/>
      <c r="V2695" s="4"/>
      <c r="W2695" s="4"/>
      <c r="X2695" s="4"/>
      <c r="Y2695" s="4"/>
      <c r="Z2695" s="4"/>
      <c r="AA2695" s="4"/>
      <c r="AB2695" s="5"/>
    </row>
    <row r="2696" spans="1:28" x14ac:dyDescent="0.35">
      <c r="A2696" s="3"/>
      <c r="B2696" s="4"/>
      <c r="C2696" s="4"/>
      <c r="D2696" s="4"/>
      <c r="E2696" s="4"/>
      <c r="F2696" s="4"/>
      <c r="G2696" s="4"/>
      <c r="H2696" s="4"/>
      <c r="I2696" s="4"/>
      <c r="J2696" s="4"/>
      <c r="K2696" s="4"/>
      <c r="L2696" s="4"/>
      <c r="M2696" s="4"/>
      <c r="N2696" s="4"/>
      <c r="O2696" s="4"/>
      <c r="P2696" s="4"/>
      <c r="Q2696" s="4"/>
      <c r="R2696" s="4"/>
      <c r="S2696" s="4"/>
      <c r="T2696" s="4"/>
      <c r="U2696" s="4"/>
      <c r="V2696" s="4"/>
      <c r="W2696" s="4"/>
      <c r="X2696" s="4"/>
      <c r="Y2696" s="4"/>
      <c r="Z2696" s="4"/>
      <c r="AA2696" s="4"/>
      <c r="AB2696" s="5"/>
    </row>
    <row r="2697" spans="1:28" x14ac:dyDescent="0.35">
      <c r="A2697" s="3"/>
      <c r="B2697" s="4"/>
      <c r="C2697" s="4"/>
      <c r="D2697" s="4"/>
      <c r="E2697" s="4"/>
      <c r="F2697" s="4"/>
      <c r="G2697" s="4"/>
      <c r="H2697" s="4"/>
      <c r="I2697" s="4"/>
      <c r="J2697" s="4"/>
      <c r="K2697" s="4"/>
      <c r="L2697" s="4"/>
      <c r="M2697" s="4"/>
      <c r="N2697" s="4"/>
      <c r="O2697" s="4"/>
      <c r="P2697" s="4"/>
      <c r="Q2697" s="4"/>
      <c r="R2697" s="4"/>
      <c r="S2697" s="4"/>
      <c r="T2697" s="4"/>
      <c r="U2697" s="4"/>
      <c r="V2697" s="4"/>
      <c r="W2697" s="4"/>
      <c r="X2697" s="4"/>
      <c r="Y2697" s="4"/>
      <c r="Z2697" s="4"/>
      <c r="AA2697" s="4"/>
      <c r="AB2697" s="5"/>
    </row>
    <row r="2698" spans="1:28" x14ac:dyDescent="0.35">
      <c r="A2698" s="3"/>
      <c r="B2698" s="4"/>
      <c r="C2698" s="4"/>
      <c r="D2698" s="4"/>
      <c r="E2698" s="4"/>
      <c r="F2698" s="4"/>
      <c r="G2698" s="4"/>
      <c r="H2698" s="4"/>
      <c r="I2698" s="4"/>
      <c r="J2698" s="4"/>
      <c r="K2698" s="4"/>
      <c r="L2698" s="4"/>
      <c r="M2698" s="4"/>
      <c r="N2698" s="4"/>
      <c r="O2698" s="4"/>
      <c r="P2698" s="4"/>
      <c r="Q2698" s="4"/>
      <c r="R2698" s="4"/>
      <c r="S2698" s="4"/>
      <c r="T2698" s="4"/>
      <c r="U2698" s="4"/>
      <c r="V2698" s="4"/>
      <c r="W2698" s="4"/>
      <c r="X2698" s="4"/>
      <c r="Y2698" s="4"/>
      <c r="Z2698" s="4"/>
      <c r="AA2698" s="4"/>
      <c r="AB2698" s="5"/>
    </row>
    <row r="2699" spans="1:28" x14ac:dyDescent="0.35">
      <c r="A2699" s="3"/>
      <c r="B2699" s="4"/>
      <c r="C2699" s="4"/>
      <c r="D2699" s="4"/>
      <c r="E2699" s="4"/>
      <c r="F2699" s="4"/>
      <c r="G2699" s="4"/>
      <c r="H2699" s="4"/>
      <c r="I2699" s="4"/>
      <c r="J2699" s="4"/>
      <c r="K2699" s="4"/>
      <c r="L2699" s="4"/>
      <c r="M2699" s="4"/>
      <c r="N2699" s="4"/>
      <c r="O2699" s="4"/>
      <c r="P2699" s="4"/>
      <c r="Q2699" s="4"/>
      <c r="R2699" s="4"/>
      <c r="S2699" s="4"/>
      <c r="T2699" s="4"/>
      <c r="U2699" s="4"/>
      <c r="V2699" s="4"/>
      <c r="W2699" s="4"/>
      <c r="X2699" s="4"/>
      <c r="Y2699" s="4"/>
      <c r="Z2699" s="4"/>
      <c r="AA2699" s="4"/>
      <c r="AB2699" s="5"/>
    </row>
    <row r="2700" spans="1:28" x14ac:dyDescent="0.35">
      <c r="A2700" s="3"/>
      <c r="B2700" s="4"/>
      <c r="C2700" s="4"/>
      <c r="D2700" s="4"/>
      <c r="E2700" s="4"/>
      <c r="F2700" s="4"/>
      <c r="G2700" s="4"/>
      <c r="H2700" s="4"/>
      <c r="I2700" s="4"/>
      <c r="J2700" s="4"/>
      <c r="K2700" s="4"/>
      <c r="L2700" s="4"/>
      <c r="M2700" s="4"/>
      <c r="N2700" s="4"/>
      <c r="O2700" s="4"/>
      <c r="P2700" s="4"/>
      <c r="Q2700" s="4"/>
      <c r="R2700" s="4"/>
      <c r="S2700" s="4"/>
      <c r="T2700" s="4"/>
      <c r="U2700" s="4"/>
      <c r="V2700" s="4"/>
      <c r="W2700" s="4"/>
      <c r="X2700" s="4"/>
      <c r="Y2700" s="4"/>
      <c r="Z2700" s="4"/>
      <c r="AA2700" s="4"/>
      <c r="AB2700" s="5"/>
    </row>
    <row r="2701" spans="1:28" x14ac:dyDescent="0.35">
      <c r="A2701" s="3"/>
      <c r="B2701" s="4"/>
      <c r="C2701" s="4"/>
      <c r="D2701" s="4"/>
      <c r="E2701" s="4"/>
      <c r="F2701" s="4"/>
      <c r="G2701" s="4"/>
      <c r="H2701" s="4"/>
      <c r="I2701" s="4"/>
      <c r="J2701" s="4"/>
      <c r="K2701" s="4"/>
      <c r="L2701" s="4"/>
      <c r="M2701" s="4"/>
      <c r="N2701" s="4"/>
      <c r="O2701" s="4"/>
      <c r="P2701" s="4"/>
      <c r="Q2701" s="4"/>
      <c r="R2701" s="4"/>
      <c r="S2701" s="4"/>
      <c r="T2701" s="4"/>
      <c r="U2701" s="4"/>
      <c r="V2701" s="4"/>
      <c r="W2701" s="4"/>
      <c r="X2701" s="4"/>
      <c r="Y2701" s="4"/>
      <c r="Z2701" s="4"/>
      <c r="AA2701" s="4"/>
      <c r="AB2701" s="5"/>
    </row>
    <row r="2702" spans="1:28" x14ac:dyDescent="0.35">
      <c r="A2702" s="3"/>
      <c r="B2702" s="4"/>
      <c r="C2702" s="4"/>
      <c r="D2702" s="4"/>
      <c r="E2702" s="4"/>
      <c r="F2702" s="4"/>
      <c r="G2702" s="4"/>
      <c r="H2702" s="4"/>
      <c r="I2702" s="4"/>
      <c r="J2702" s="4"/>
      <c r="K2702" s="4"/>
      <c r="L2702" s="4"/>
      <c r="M2702" s="4"/>
      <c r="N2702" s="4"/>
      <c r="O2702" s="4"/>
      <c r="P2702" s="4"/>
      <c r="Q2702" s="4"/>
      <c r="R2702" s="4"/>
      <c r="S2702" s="4"/>
      <c r="T2702" s="4"/>
      <c r="U2702" s="4"/>
      <c r="V2702" s="4"/>
      <c r="W2702" s="4"/>
      <c r="X2702" s="4"/>
      <c r="Y2702" s="4"/>
      <c r="Z2702" s="4"/>
      <c r="AA2702" s="4"/>
      <c r="AB2702" s="5"/>
    </row>
    <row r="2703" spans="1:28" x14ac:dyDescent="0.35">
      <c r="A2703" s="3"/>
      <c r="B2703" s="4"/>
      <c r="C2703" s="4"/>
      <c r="D2703" s="4"/>
      <c r="E2703" s="4"/>
      <c r="F2703" s="4"/>
      <c r="G2703" s="4"/>
      <c r="H2703" s="4"/>
      <c r="I2703" s="4"/>
      <c r="J2703" s="4"/>
      <c r="K2703" s="4"/>
      <c r="L2703" s="4"/>
      <c r="M2703" s="4"/>
      <c r="N2703" s="4"/>
      <c r="O2703" s="4"/>
      <c r="P2703" s="4"/>
      <c r="Q2703" s="4"/>
      <c r="R2703" s="4"/>
      <c r="S2703" s="4"/>
      <c r="T2703" s="4"/>
      <c r="U2703" s="4"/>
      <c r="V2703" s="4"/>
      <c r="W2703" s="4"/>
      <c r="X2703" s="4"/>
      <c r="Y2703" s="4"/>
      <c r="Z2703" s="4"/>
      <c r="AA2703" s="4"/>
      <c r="AB2703" s="5"/>
    </row>
    <row r="2704" spans="1:28" x14ac:dyDescent="0.35">
      <c r="A2704" s="3"/>
      <c r="B2704" s="4"/>
      <c r="C2704" s="4"/>
      <c r="D2704" s="4"/>
      <c r="E2704" s="4"/>
      <c r="F2704" s="4"/>
      <c r="G2704" s="4"/>
      <c r="H2704" s="4"/>
      <c r="I2704" s="4"/>
      <c r="J2704" s="4"/>
      <c r="K2704" s="4"/>
      <c r="L2704" s="4"/>
      <c r="M2704" s="4"/>
      <c r="N2704" s="4"/>
      <c r="O2704" s="4"/>
      <c r="P2704" s="4"/>
      <c r="Q2704" s="4"/>
      <c r="R2704" s="4"/>
      <c r="S2704" s="4"/>
      <c r="T2704" s="4"/>
      <c r="U2704" s="4"/>
      <c r="V2704" s="4"/>
      <c r="W2704" s="4"/>
      <c r="X2704" s="4"/>
      <c r="Y2704" s="4"/>
      <c r="Z2704" s="4"/>
      <c r="AA2704" s="4"/>
      <c r="AB2704" s="5"/>
    </row>
    <row r="2705" spans="1:28" x14ac:dyDescent="0.35">
      <c r="A2705" s="3"/>
      <c r="B2705" s="4"/>
      <c r="C2705" s="4"/>
      <c r="D2705" s="4"/>
      <c r="E2705" s="4"/>
      <c r="F2705" s="4"/>
      <c r="G2705" s="4"/>
      <c r="H2705" s="4"/>
      <c r="I2705" s="4"/>
      <c r="J2705" s="4"/>
      <c r="K2705" s="4"/>
      <c r="L2705" s="4"/>
      <c r="M2705" s="4"/>
      <c r="N2705" s="4"/>
      <c r="O2705" s="4"/>
      <c r="P2705" s="4"/>
      <c r="Q2705" s="4"/>
      <c r="R2705" s="4"/>
      <c r="S2705" s="4"/>
      <c r="T2705" s="4"/>
      <c r="U2705" s="4"/>
      <c r="V2705" s="4"/>
      <c r="W2705" s="4"/>
      <c r="X2705" s="4"/>
      <c r="Y2705" s="4"/>
      <c r="Z2705" s="4"/>
      <c r="AA2705" s="4"/>
      <c r="AB2705" s="5"/>
    </row>
    <row r="2706" spans="1:28" x14ac:dyDescent="0.35">
      <c r="A2706" s="3"/>
      <c r="B2706" s="4"/>
      <c r="C2706" s="4"/>
      <c r="D2706" s="4"/>
      <c r="E2706" s="4"/>
      <c r="F2706" s="4"/>
      <c r="G2706" s="4"/>
      <c r="H2706" s="4"/>
      <c r="I2706" s="4"/>
      <c r="J2706" s="4"/>
      <c r="K2706" s="4"/>
      <c r="L2706" s="4"/>
      <c r="M2706" s="4"/>
      <c r="N2706" s="4"/>
      <c r="O2706" s="4"/>
      <c r="P2706" s="4"/>
      <c r="Q2706" s="4"/>
      <c r="R2706" s="4"/>
      <c r="S2706" s="4"/>
      <c r="T2706" s="4"/>
      <c r="U2706" s="4"/>
      <c r="V2706" s="4"/>
      <c r="W2706" s="4"/>
      <c r="X2706" s="4"/>
      <c r="Y2706" s="4"/>
      <c r="Z2706" s="4"/>
      <c r="AA2706" s="4"/>
      <c r="AB2706" s="5"/>
    </row>
    <row r="2707" spans="1:28" x14ac:dyDescent="0.35">
      <c r="A2707" s="3"/>
      <c r="B2707" s="4"/>
      <c r="C2707" s="4"/>
      <c r="D2707" s="4"/>
      <c r="E2707" s="4"/>
      <c r="F2707" s="4"/>
      <c r="G2707" s="4"/>
      <c r="H2707" s="4"/>
      <c r="I2707" s="4"/>
      <c r="J2707" s="4"/>
      <c r="K2707" s="4"/>
      <c r="L2707" s="4"/>
      <c r="M2707" s="4"/>
      <c r="N2707" s="4"/>
      <c r="O2707" s="4"/>
      <c r="P2707" s="4"/>
      <c r="Q2707" s="4"/>
      <c r="R2707" s="4"/>
      <c r="S2707" s="4"/>
      <c r="T2707" s="4"/>
      <c r="U2707" s="4"/>
      <c r="V2707" s="4"/>
      <c r="W2707" s="4"/>
      <c r="X2707" s="4"/>
      <c r="Y2707" s="4"/>
      <c r="Z2707" s="4"/>
      <c r="AA2707" s="4"/>
      <c r="AB2707" s="5"/>
    </row>
    <row r="2708" spans="1:28" x14ac:dyDescent="0.35">
      <c r="A2708" s="3"/>
      <c r="B2708" s="4"/>
      <c r="C2708" s="4"/>
      <c r="D2708" s="4"/>
      <c r="E2708" s="4"/>
      <c r="F2708" s="4"/>
      <c r="G2708" s="4"/>
      <c r="H2708" s="4"/>
      <c r="I2708" s="4"/>
      <c r="J2708" s="4"/>
      <c r="K2708" s="4"/>
      <c r="L2708" s="4"/>
      <c r="M2708" s="4"/>
      <c r="N2708" s="4"/>
      <c r="O2708" s="4"/>
      <c r="P2708" s="4"/>
      <c r="Q2708" s="4"/>
      <c r="R2708" s="4"/>
      <c r="S2708" s="4"/>
      <c r="T2708" s="4"/>
      <c r="U2708" s="4"/>
      <c r="V2708" s="4"/>
      <c r="W2708" s="4"/>
      <c r="X2708" s="4"/>
      <c r="Y2708" s="4"/>
      <c r="Z2708" s="4"/>
      <c r="AA2708" s="4"/>
      <c r="AB2708" s="5"/>
    </row>
    <row r="2709" spans="1:28" x14ac:dyDescent="0.35">
      <c r="A2709" s="3"/>
      <c r="B2709" s="4"/>
      <c r="C2709" s="4"/>
      <c r="D2709" s="4"/>
      <c r="E2709" s="4"/>
      <c r="F2709" s="4"/>
      <c r="G2709" s="4"/>
      <c r="H2709" s="4"/>
      <c r="I2709" s="4"/>
      <c r="J2709" s="4"/>
      <c r="K2709" s="4"/>
      <c r="L2709" s="4"/>
      <c r="M2709" s="4"/>
      <c r="N2709" s="4"/>
      <c r="O2709" s="4"/>
      <c r="P2709" s="4"/>
      <c r="Q2709" s="4"/>
      <c r="R2709" s="4"/>
      <c r="S2709" s="4"/>
      <c r="T2709" s="4"/>
      <c r="U2709" s="4"/>
      <c r="V2709" s="4"/>
      <c r="W2709" s="4"/>
      <c r="X2709" s="4"/>
      <c r="Y2709" s="4"/>
      <c r="Z2709" s="4"/>
      <c r="AA2709" s="4"/>
      <c r="AB2709" s="5"/>
    </row>
    <row r="2710" spans="1:28" x14ac:dyDescent="0.35">
      <c r="A2710" s="3"/>
      <c r="B2710" s="4"/>
      <c r="C2710" s="4"/>
      <c r="D2710" s="4"/>
      <c r="E2710" s="4"/>
      <c r="F2710" s="4"/>
      <c r="G2710" s="4"/>
      <c r="H2710" s="4"/>
      <c r="I2710" s="4"/>
      <c r="J2710" s="4"/>
      <c r="K2710" s="4"/>
      <c r="L2710" s="4"/>
      <c r="M2710" s="4"/>
      <c r="N2710" s="4"/>
      <c r="O2710" s="4"/>
      <c r="P2710" s="4"/>
      <c r="Q2710" s="4"/>
      <c r="R2710" s="4"/>
      <c r="S2710" s="4"/>
      <c r="T2710" s="4"/>
      <c r="U2710" s="4"/>
      <c r="V2710" s="4"/>
      <c r="W2710" s="4"/>
      <c r="X2710" s="4"/>
      <c r="Y2710" s="4"/>
      <c r="Z2710" s="4"/>
      <c r="AA2710" s="4"/>
      <c r="AB2710" s="5"/>
    </row>
    <row r="2711" spans="1:28" x14ac:dyDescent="0.35">
      <c r="A2711" s="3"/>
      <c r="B2711" s="4"/>
      <c r="C2711" s="4"/>
      <c r="D2711" s="4"/>
      <c r="E2711" s="4"/>
      <c r="F2711" s="4"/>
      <c r="G2711" s="4"/>
      <c r="H2711" s="4"/>
      <c r="I2711" s="4"/>
      <c r="J2711" s="4"/>
      <c r="K2711" s="4"/>
      <c r="L2711" s="4"/>
      <c r="M2711" s="4"/>
      <c r="N2711" s="4"/>
      <c r="O2711" s="4"/>
      <c r="P2711" s="4"/>
      <c r="Q2711" s="4"/>
      <c r="R2711" s="4"/>
      <c r="S2711" s="4"/>
      <c r="T2711" s="4"/>
      <c r="U2711" s="4"/>
      <c r="V2711" s="4"/>
      <c r="W2711" s="4"/>
      <c r="X2711" s="4"/>
      <c r="Y2711" s="4"/>
      <c r="Z2711" s="4"/>
      <c r="AA2711" s="4"/>
      <c r="AB2711" s="5"/>
    </row>
    <row r="2712" spans="1:28" x14ac:dyDescent="0.35">
      <c r="A2712" s="3"/>
      <c r="B2712" s="4"/>
      <c r="C2712" s="4"/>
      <c r="D2712" s="4"/>
      <c r="E2712" s="4"/>
      <c r="F2712" s="4"/>
      <c r="G2712" s="4"/>
      <c r="H2712" s="4"/>
      <c r="I2712" s="4"/>
      <c r="J2712" s="4"/>
      <c r="K2712" s="4"/>
      <c r="L2712" s="4"/>
      <c r="M2712" s="4"/>
      <c r="N2712" s="4"/>
      <c r="O2712" s="4"/>
      <c r="P2712" s="4"/>
      <c r="Q2712" s="4"/>
      <c r="R2712" s="4"/>
      <c r="S2712" s="4"/>
      <c r="T2712" s="4"/>
      <c r="U2712" s="4"/>
      <c r="V2712" s="4"/>
      <c r="W2712" s="4"/>
      <c r="X2712" s="4"/>
      <c r="Y2712" s="4"/>
      <c r="Z2712" s="4"/>
      <c r="AA2712" s="4"/>
      <c r="AB2712" s="5"/>
    </row>
    <row r="2713" spans="1:28" x14ac:dyDescent="0.35">
      <c r="A2713" s="3"/>
      <c r="B2713" s="4"/>
      <c r="C2713" s="4"/>
      <c r="D2713" s="4"/>
      <c r="E2713" s="4"/>
      <c r="F2713" s="4"/>
      <c r="G2713" s="4"/>
      <c r="H2713" s="4"/>
      <c r="I2713" s="4"/>
      <c r="J2713" s="4"/>
      <c r="K2713" s="4"/>
      <c r="L2713" s="4"/>
      <c r="M2713" s="4"/>
      <c r="N2713" s="4"/>
      <c r="O2713" s="4"/>
      <c r="P2713" s="4"/>
      <c r="Q2713" s="4"/>
      <c r="R2713" s="4"/>
      <c r="S2713" s="4"/>
      <c r="T2713" s="4"/>
      <c r="U2713" s="4"/>
      <c r="V2713" s="4"/>
      <c r="W2713" s="4"/>
      <c r="X2713" s="4"/>
      <c r="Y2713" s="4"/>
      <c r="Z2713" s="4"/>
      <c r="AA2713" s="4"/>
      <c r="AB2713" s="5"/>
    </row>
    <row r="2714" spans="1:28" x14ac:dyDescent="0.35">
      <c r="A2714" s="3"/>
      <c r="B2714" s="4"/>
      <c r="C2714" s="4"/>
      <c r="D2714" s="4"/>
      <c r="E2714" s="4"/>
      <c r="F2714" s="4"/>
      <c r="G2714" s="4"/>
      <c r="H2714" s="4"/>
      <c r="I2714" s="4"/>
      <c r="J2714" s="4"/>
      <c r="K2714" s="4"/>
      <c r="L2714" s="4"/>
      <c r="M2714" s="4"/>
      <c r="N2714" s="4"/>
      <c r="O2714" s="4"/>
      <c r="P2714" s="4"/>
      <c r="Q2714" s="4"/>
      <c r="R2714" s="4"/>
      <c r="S2714" s="4"/>
      <c r="T2714" s="4"/>
      <c r="U2714" s="4"/>
      <c r="V2714" s="4"/>
      <c r="W2714" s="4"/>
      <c r="X2714" s="4"/>
      <c r="Y2714" s="4"/>
      <c r="Z2714" s="4"/>
      <c r="AA2714" s="4"/>
      <c r="AB2714" s="5"/>
    </row>
    <row r="2715" spans="1:28" x14ac:dyDescent="0.35">
      <c r="A2715" s="3"/>
      <c r="B2715" s="4"/>
      <c r="C2715" s="4"/>
      <c r="D2715" s="4"/>
      <c r="E2715" s="4"/>
      <c r="F2715" s="4"/>
      <c r="G2715" s="4"/>
      <c r="H2715" s="4"/>
      <c r="I2715" s="4"/>
      <c r="J2715" s="4"/>
      <c r="K2715" s="4"/>
      <c r="L2715" s="4"/>
      <c r="M2715" s="4"/>
      <c r="N2715" s="4"/>
      <c r="O2715" s="4"/>
      <c r="P2715" s="4"/>
      <c r="Q2715" s="4"/>
      <c r="R2715" s="4"/>
      <c r="S2715" s="4"/>
      <c r="T2715" s="4"/>
      <c r="U2715" s="4"/>
      <c r="V2715" s="4"/>
      <c r="W2715" s="4"/>
      <c r="X2715" s="4"/>
      <c r="Y2715" s="4"/>
      <c r="Z2715" s="4"/>
      <c r="AA2715" s="4"/>
      <c r="AB2715" s="5"/>
    </row>
    <row r="2716" spans="1:28" x14ac:dyDescent="0.35">
      <c r="A2716" s="3"/>
      <c r="B2716" s="4"/>
      <c r="C2716" s="4"/>
      <c r="D2716" s="4"/>
      <c r="E2716" s="4"/>
      <c r="F2716" s="4"/>
      <c r="G2716" s="4"/>
      <c r="H2716" s="4"/>
      <c r="I2716" s="4"/>
      <c r="J2716" s="4"/>
      <c r="K2716" s="4"/>
      <c r="L2716" s="4"/>
      <c r="M2716" s="4"/>
      <c r="N2716" s="4"/>
      <c r="O2716" s="4"/>
      <c r="P2716" s="4"/>
      <c r="Q2716" s="4"/>
      <c r="R2716" s="4"/>
      <c r="S2716" s="4"/>
      <c r="T2716" s="4"/>
      <c r="U2716" s="4"/>
      <c r="V2716" s="4"/>
      <c r="W2716" s="4"/>
      <c r="X2716" s="4"/>
      <c r="Y2716" s="4"/>
      <c r="Z2716" s="4"/>
      <c r="AA2716" s="4"/>
      <c r="AB2716" s="5"/>
    </row>
    <row r="2717" spans="1:28" x14ac:dyDescent="0.35">
      <c r="A2717" s="3"/>
      <c r="B2717" s="4"/>
      <c r="C2717" s="4"/>
      <c r="D2717" s="4"/>
      <c r="E2717" s="4"/>
      <c r="F2717" s="4"/>
      <c r="G2717" s="4"/>
      <c r="H2717" s="4"/>
      <c r="I2717" s="4"/>
      <c r="J2717" s="4"/>
      <c r="K2717" s="4"/>
      <c r="L2717" s="4"/>
      <c r="M2717" s="4"/>
      <c r="N2717" s="4"/>
      <c r="O2717" s="4"/>
      <c r="P2717" s="4"/>
      <c r="Q2717" s="4"/>
      <c r="R2717" s="4"/>
      <c r="S2717" s="4"/>
      <c r="T2717" s="4"/>
      <c r="U2717" s="4"/>
      <c r="V2717" s="4"/>
      <c r="W2717" s="4"/>
      <c r="X2717" s="4"/>
      <c r="Y2717" s="4"/>
      <c r="Z2717" s="4"/>
      <c r="AA2717" s="4"/>
      <c r="AB2717" s="5"/>
    </row>
    <row r="2718" spans="1:28" x14ac:dyDescent="0.35">
      <c r="A2718" s="3"/>
      <c r="B2718" s="4"/>
      <c r="C2718" s="4"/>
      <c r="D2718" s="4"/>
      <c r="E2718" s="4"/>
      <c r="F2718" s="4"/>
      <c r="G2718" s="4"/>
      <c r="H2718" s="4"/>
      <c r="I2718" s="4"/>
      <c r="J2718" s="4"/>
      <c r="K2718" s="4"/>
      <c r="L2718" s="4"/>
      <c r="M2718" s="4"/>
      <c r="N2718" s="4"/>
      <c r="O2718" s="4"/>
      <c r="P2718" s="4"/>
      <c r="Q2718" s="4"/>
      <c r="R2718" s="4"/>
      <c r="S2718" s="4"/>
      <c r="T2718" s="4"/>
      <c r="U2718" s="4"/>
      <c r="V2718" s="4"/>
      <c r="W2718" s="4"/>
      <c r="X2718" s="4"/>
      <c r="Y2718" s="4"/>
      <c r="Z2718" s="4"/>
      <c r="AA2718" s="4"/>
      <c r="AB2718" s="5"/>
    </row>
    <row r="2719" spans="1:28" x14ac:dyDescent="0.35">
      <c r="A2719" s="3"/>
      <c r="B2719" s="4"/>
      <c r="C2719" s="4"/>
      <c r="D2719" s="4"/>
      <c r="E2719" s="4"/>
      <c r="F2719" s="4"/>
      <c r="G2719" s="4"/>
      <c r="H2719" s="4"/>
      <c r="I2719" s="4"/>
      <c r="J2719" s="4"/>
      <c r="K2719" s="4"/>
      <c r="L2719" s="4"/>
      <c r="M2719" s="4"/>
      <c r="N2719" s="4"/>
      <c r="O2719" s="4"/>
      <c r="P2719" s="4"/>
      <c r="Q2719" s="4"/>
      <c r="R2719" s="4"/>
      <c r="S2719" s="4"/>
      <c r="T2719" s="4"/>
      <c r="U2719" s="4"/>
      <c r="V2719" s="4"/>
      <c r="W2719" s="4"/>
      <c r="X2719" s="4"/>
      <c r="Y2719" s="4"/>
      <c r="Z2719" s="4"/>
      <c r="AA2719" s="4"/>
      <c r="AB2719" s="5"/>
    </row>
    <row r="2720" spans="1:28" x14ac:dyDescent="0.35">
      <c r="A2720" s="3"/>
      <c r="B2720" s="4"/>
      <c r="C2720" s="4"/>
      <c r="D2720" s="4"/>
      <c r="E2720" s="4"/>
      <c r="F2720" s="4"/>
      <c r="G2720" s="4"/>
      <c r="H2720" s="4"/>
      <c r="I2720" s="4"/>
      <c r="J2720" s="4"/>
      <c r="K2720" s="4"/>
      <c r="L2720" s="4"/>
      <c r="M2720" s="4"/>
      <c r="N2720" s="4"/>
      <c r="O2720" s="4"/>
      <c r="P2720" s="4"/>
      <c r="Q2720" s="4"/>
      <c r="R2720" s="4"/>
      <c r="S2720" s="4"/>
      <c r="T2720" s="4"/>
      <c r="U2720" s="4"/>
      <c r="V2720" s="4"/>
      <c r="W2720" s="4"/>
      <c r="X2720" s="4"/>
      <c r="Y2720" s="4"/>
      <c r="Z2720" s="4"/>
      <c r="AA2720" s="4"/>
      <c r="AB2720" s="5"/>
    </row>
    <row r="2721" spans="1:28" x14ac:dyDescent="0.35">
      <c r="A2721" s="3"/>
      <c r="B2721" s="4"/>
      <c r="C2721" s="4"/>
      <c r="D2721" s="4"/>
      <c r="E2721" s="4"/>
      <c r="F2721" s="4"/>
      <c r="G2721" s="4"/>
      <c r="H2721" s="4"/>
      <c r="I2721" s="4"/>
      <c r="J2721" s="4"/>
      <c r="K2721" s="4"/>
      <c r="L2721" s="4"/>
      <c r="M2721" s="4"/>
      <c r="N2721" s="4"/>
      <c r="O2721" s="4"/>
      <c r="P2721" s="4"/>
      <c r="Q2721" s="4"/>
      <c r="R2721" s="4"/>
      <c r="S2721" s="4"/>
      <c r="T2721" s="4"/>
      <c r="U2721" s="4"/>
      <c r="V2721" s="4"/>
      <c r="W2721" s="4"/>
      <c r="X2721" s="4"/>
      <c r="Y2721" s="4"/>
      <c r="Z2721" s="4"/>
      <c r="AA2721" s="4"/>
      <c r="AB2721" s="5"/>
    </row>
    <row r="2722" spans="1:28" x14ac:dyDescent="0.35">
      <c r="A2722" s="3"/>
      <c r="B2722" s="4"/>
      <c r="C2722" s="4"/>
      <c r="D2722" s="4"/>
      <c r="E2722" s="4"/>
      <c r="F2722" s="4"/>
      <c r="G2722" s="4"/>
      <c r="H2722" s="4"/>
      <c r="I2722" s="4"/>
      <c r="J2722" s="4"/>
      <c r="K2722" s="4"/>
      <c r="L2722" s="4"/>
      <c r="M2722" s="4"/>
      <c r="N2722" s="4"/>
      <c r="O2722" s="4"/>
      <c r="P2722" s="4"/>
      <c r="Q2722" s="4"/>
      <c r="R2722" s="4"/>
      <c r="S2722" s="4"/>
      <c r="T2722" s="4"/>
      <c r="U2722" s="4"/>
      <c r="V2722" s="4"/>
      <c r="W2722" s="4"/>
      <c r="X2722" s="4"/>
      <c r="Y2722" s="4"/>
      <c r="Z2722" s="4"/>
      <c r="AA2722" s="4"/>
      <c r="AB2722" s="5"/>
    </row>
    <row r="2723" spans="1:28" x14ac:dyDescent="0.35">
      <c r="A2723" s="3"/>
      <c r="B2723" s="4"/>
      <c r="C2723" s="4"/>
      <c r="D2723" s="4"/>
      <c r="E2723" s="4"/>
      <c r="F2723" s="4"/>
      <c r="G2723" s="4"/>
      <c r="H2723" s="4"/>
      <c r="I2723" s="4"/>
      <c r="J2723" s="4"/>
      <c r="K2723" s="4"/>
      <c r="L2723" s="4"/>
      <c r="M2723" s="4"/>
      <c r="N2723" s="4"/>
      <c r="O2723" s="4"/>
      <c r="P2723" s="4"/>
      <c r="Q2723" s="4"/>
      <c r="R2723" s="4"/>
      <c r="S2723" s="4"/>
      <c r="T2723" s="4"/>
      <c r="U2723" s="4"/>
      <c r="V2723" s="4"/>
      <c r="W2723" s="4"/>
      <c r="X2723" s="4"/>
      <c r="Y2723" s="4"/>
      <c r="Z2723" s="4"/>
      <c r="AA2723" s="4"/>
      <c r="AB2723" s="5"/>
    </row>
    <row r="2724" spans="1:28" x14ac:dyDescent="0.35">
      <c r="A2724" s="3"/>
      <c r="B2724" s="4"/>
      <c r="C2724" s="4"/>
      <c r="D2724" s="4"/>
      <c r="E2724" s="4"/>
      <c r="F2724" s="4"/>
      <c r="G2724" s="4"/>
      <c r="H2724" s="4"/>
      <c r="I2724" s="4"/>
      <c r="J2724" s="4"/>
      <c r="K2724" s="4"/>
      <c r="L2724" s="4"/>
      <c r="M2724" s="4"/>
      <c r="N2724" s="4"/>
      <c r="O2724" s="4"/>
      <c r="P2724" s="4"/>
      <c r="Q2724" s="4"/>
      <c r="R2724" s="4"/>
      <c r="S2724" s="4"/>
      <c r="T2724" s="4"/>
      <c r="U2724" s="4"/>
      <c r="V2724" s="4"/>
      <c r="W2724" s="4"/>
      <c r="X2724" s="4"/>
      <c r="Y2724" s="4"/>
      <c r="Z2724" s="4"/>
      <c r="AA2724" s="4"/>
      <c r="AB2724" s="5"/>
    </row>
    <row r="2725" spans="1:28" x14ac:dyDescent="0.35">
      <c r="A2725" s="3"/>
      <c r="B2725" s="4"/>
      <c r="C2725" s="4"/>
      <c r="D2725" s="4"/>
      <c r="E2725" s="4"/>
      <c r="F2725" s="4"/>
      <c r="G2725" s="4"/>
      <c r="H2725" s="4"/>
      <c r="I2725" s="4"/>
      <c r="J2725" s="4"/>
      <c r="K2725" s="4"/>
      <c r="L2725" s="4"/>
      <c r="M2725" s="4"/>
      <c r="N2725" s="4"/>
      <c r="O2725" s="4"/>
      <c r="P2725" s="4"/>
      <c r="Q2725" s="4"/>
      <c r="R2725" s="4"/>
      <c r="S2725" s="4"/>
      <c r="T2725" s="4"/>
      <c r="U2725" s="4"/>
      <c r="V2725" s="4"/>
      <c r="W2725" s="4"/>
      <c r="X2725" s="4"/>
      <c r="Y2725" s="4"/>
      <c r="Z2725" s="4"/>
      <c r="AA2725" s="4"/>
      <c r="AB2725" s="5"/>
    </row>
    <row r="2726" spans="1:28" x14ac:dyDescent="0.35">
      <c r="A2726" s="3"/>
      <c r="B2726" s="4"/>
      <c r="C2726" s="4"/>
      <c r="D2726" s="4"/>
      <c r="E2726" s="4"/>
      <c r="F2726" s="4"/>
      <c r="G2726" s="4"/>
      <c r="H2726" s="4"/>
      <c r="I2726" s="4"/>
      <c r="J2726" s="4"/>
      <c r="K2726" s="4"/>
      <c r="L2726" s="4"/>
      <c r="M2726" s="4"/>
      <c r="N2726" s="4"/>
      <c r="O2726" s="4"/>
      <c r="P2726" s="4"/>
      <c r="Q2726" s="4"/>
      <c r="R2726" s="4"/>
      <c r="S2726" s="4"/>
      <c r="T2726" s="4"/>
      <c r="U2726" s="4"/>
      <c r="V2726" s="4"/>
      <c r="W2726" s="4"/>
      <c r="X2726" s="4"/>
      <c r="Y2726" s="4"/>
      <c r="Z2726" s="4"/>
      <c r="AA2726" s="4"/>
      <c r="AB2726" s="5"/>
    </row>
    <row r="2727" spans="1:28" x14ac:dyDescent="0.35">
      <c r="A2727" s="3"/>
      <c r="B2727" s="4"/>
      <c r="C2727" s="4"/>
      <c r="D2727" s="4"/>
      <c r="E2727" s="4"/>
      <c r="F2727" s="4"/>
      <c r="G2727" s="4"/>
      <c r="H2727" s="4"/>
      <c r="I2727" s="4"/>
      <c r="J2727" s="4"/>
      <c r="K2727" s="4"/>
      <c r="L2727" s="4"/>
      <c r="M2727" s="4"/>
      <c r="N2727" s="4"/>
      <c r="O2727" s="4"/>
      <c r="P2727" s="4"/>
      <c r="Q2727" s="4"/>
      <c r="R2727" s="4"/>
      <c r="S2727" s="4"/>
      <c r="T2727" s="4"/>
      <c r="U2727" s="4"/>
      <c r="V2727" s="4"/>
      <c r="W2727" s="4"/>
      <c r="X2727" s="4"/>
      <c r="Y2727" s="4"/>
      <c r="Z2727" s="4"/>
      <c r="AA2727" s="4"/>
      <c r="AB2727" s="5"/>
    </row>
    <row r="2728" spans="1:28" x14ac:dyDescent="0.35">
      <c r="A2728" s="3"/>
      <c r="B2728" s="4"/>
      <c r="C2728" s="4"/>
      <c r="D2728" s="4"/>
      <c r="E2728" s="4"/>
      <c r="F2728" s="4"/>
      <c r="G2728" s="4"/>
      <c r="H2728" s="4"/>
      <c r="I2728" s="4"/>
      <c r="J2728" s="4"/>
      <c r="K2728" s="4"/>
      <c r="L2728" s="4"/>
      <c r="M2728" s="4"/>
      <c r="N2728" s="4"/>
      <c r="O2728" s="4"/>
      <c r="P2728" s="4"/>
      <c r="Q2728" s="4"/>
      <c r="R2728" s="4"/>
      <c r="S2728" s="4"/>
      <c r="T2728" s="4"/>
      <c r="U2728" s="4"/>
      <c r="V2728" s="4"/>
      <c r="W2728" s="4"/>
      <c r="X2728" s="4"/>
      <c r="Y2728" s="4"/>
      <c r="Z2728" s="4"/>
      <c r="AA2728" s="4"/>
      <c r="AB2728" s="5"/>
    </row>
    <row r="2729" spans="1:28" x14ac:dyDescent="0.35">
      <c r="A2729" s="3"/>
      <c r="B2729" s="4"/>
      <c r="C2729" s="4"/>
      <c r="D2729" s="4"/>
      <c r="E2729" s="4"/>
      <c r="F2729" s="4"/>
      <c r="G2729" s="4"/>
      <c r="H2729" s="4"/>
      <c r="I2729" s="4"/>
      <c r="J2729" s="4"/>
      <c r="K2729" s="4"/>
      <c r="L2729" s="4"/>
      <c r="M2729" s="4"/>
      <c r="N2729" s="4"/>
      <c r="O2729" s="4"/>
      <c r="P2729" s="4"/>
      <c r="Q2729" s="4"/>
      <c r="R2729" s="4"/>
      <c r="S2729" s="4"/>
      <c r="T2729" s="4"/>
      <c r="U2729" s="4"/>
      <c r="V2729" s="4"/>
      <c r="W2729" s="4"/>
      <c r="X2729" s="4"/>
      <c r="Y2729" s="4"/>
      <c r="Z2729" s="4"/>
      <c r="AA2729" s="4"/>
      <c r="AB2729" s="5"/>
    </row>
    <row r="2730" spans="1:28" x14ac:dyDescent="0.35">
      <c r="A2730" s="3"/>
      <c r="B2730" s="4"/>
      <c r="C2730" s="4"/>
      <c r="D2730" s="4"/>
      <c r="E2730" s="4"/>
      <c r="F2730" s="4"/>
      <c r="G2730" s="4"/>
      <c r="H2730" s="4"/>
      <c r="I2730" s="4"/>
      <c r="J2730" s="4"/>
      <c r="K2730" s="4"/>
      <c r="L2730" s="4"/>
      <c r="M2730" s="4"/>
      <c r="N2730" s="4"/>
      <c r="O2730" s="4"/>
      <c r="P2730" s="4"/>
      <c r="Q2730" s="4"/>
      <c r="R2730" s="4"/>
      <c r="S2730" s="4"/>
      <c r="T2730" s="4"/>
      <c r="U2730" s="4"/>
      <c r="V2730" s="4"/>
      <c r="W2730" s="4"/>
      <c r="X2730" s="4"/>
      <c r="Y2730" s="4"/>
      <c r="Z2730" s="4"/>
      <c r="AA2730" s="4"/>
      <c r="AB2730" s="5"/>
    </row>
    <row r="2731" spans="1:28" x14ac:dyDescent="0.35">
      <c r="A2731" s="3"/>
      <c r="B2731" s="4"/>
      <c r="C2731" s="4"/>
      <c r="D2731" s="4"/>
      <c r="E2731" s="4"/>
      <c r="F2731" s="4"/>
      <c r="G2731" s="4"/>
      <c r="H2731" s="4"/>
      <c r="I2731" s="4"/>
      <c r="J2731" s="4"/>
      <c r="K2731" s="4"/>
      <c r="L2731" s="4"/>
      <c r="M2731" s="4"/>
      <c r="N2731" s="4"/>
      <c r="O2731" s="4"/>
      <c r="P2731" s="4"/>
      <c r="Q2731" s="4"/>
      <c r="R2731" s="4"/>
      <c r="S2731" s="4"/>
      <c r="T2731" s="4"/>
      <c r="U2731" s="4"/>
      <c r="V2731" s="4"/>
      <c r="W2731" s="4"/>
      <c r="X2731" s="4"/>
      <c r="Y2731" s="4"/>
      <c r="Z2731" s="4"/>
      <c r="AA2731" s="4"/>
      <c r="AB2731" s="5"/>
    </row>
    <row r="2732" spans="1:28" x14ac:dyDescent="0.35">
      <c r="A2732" s="3"/>
      <c r="B2732" s="4"/>
      <c r="C2732" s="4"/>
      <c r="D2732" s="4"/>
      <c r="E2732" s="4"/>
      <c r="F2732" s="4"/>
      <c r="G2732" s="4"/>
      <c r="H2732" s="4"/>
      <c r="I2732" s="4"/>
      <c r="J2732" s="4"/>
      <c r="K2732" s="4"/>
      <c r="L2732" s="4"/>
      <c r="M2732" s="4"/>
      <c r="N2732" s="4"/>
      <c r="O2732" s="4"/>
      <c r="P2732" s="4"/>
      <c r="Q2732" s="4"/>
      <c r="R2732" s="4"/>
      <c r="S2732" s="4"/>
      <c r="T2732" s="4"/>
      <c r="U2732" s="4"/>
      <c r="V2732" s="4"/>
      <c r="W2732" s="4"/>
      <c r="X2732" s="4"/>
      <c r="Y2732" s="4"/>
      <c r="Z2732" s="4"/>
      <c r="AA2732" s="4"/>
      <c r="AB2732" s="5"/>
    </row>
    <row r="2733" spans="1:28" x14ac:dyDescent="0.35">
      <c r="A2733" s="3"/>
      <c r="B2733" s="4"/>
      <c r="C2733" s="4"/>
      <c r="D2733" s="4"/>
      <c r="E2733" s="4"/>
      <c r="F2733" s="4"/>
      <c r="G2733" s="4"/>
      <c r="H2733" s="4"/>
      <c r="I2733" s="4"/>
      <c r="J2733" s="4"/>
      <c r="K2733" s="4"/>
      <c r="L2733" s="4"/>
      <c r="M2733" s="4"/>
      <c r="N2733" s="4"/>
      <c r="O2733" s="4"/>
      <c r="P2733" s="4"/>
      <c r="Q2733" s="4"/>
      <c r="R2733" s="4"/>
      <c r="S2733" s="4"/>
      <c r="T2733" s="4"/>
      <c r="U2733" s="4"/>
      <c r="V2733" s="4"/>
      <c r="W2733" s="4"/>
      <c r="X2733" s="4"/>
      <c r="Y2733" s="4"/>
      <c r="Z2733" s="4"/>
      <c r="AA2733" s="4"/>
      <c r="AB2733" s="5"/>
    </row>
    <row r="2734" spans="1:28" x14ac:dyDescent="0.35">
      <c r="A2734" s="3"/>
      <c r="B2734" s="4"/>
      <c r="C2734" s="4"/>
      <c r="D2734" s="4"/>
      <c r="E2734" s="4"/>
      <c r="F2734" s="4"/>
      <c r="G2734" s="4"/>
      <c r="H2734" s="4"/>
      <c r="I2734" s="4"/>
      <c r="J2734" s="4"/>
      <c r="K2734" s="4"/>
      <c r="L2734" s="4"/>
      <c r="M2734" s="4"/>
      <c r="N2734" s="4"/>
      <c r="O2734" s="4"/>
      <c r="P2734" s="4"/>
      <c r="Q2734" s="4"/>
      <c r="R2734" s="4"/>
      <c r="S2734" s="4"/>
      <c r="T2734" s="4"/>
      <c r="U2734" s="4"/>
      <c r="V2734" s="4"/>
      <c r="W2734" s="4"/>
      <c r="X2734" s="4"/>
      <c r="Y2734" s="4"/>
      <c r="Z2734" s="4"/>
      <c r="AA2734" s="4"/>
      <c r="AB2734" s="5"/>
    </row>
    <row r="2735" spans="1:28" x14ac:dyDescent="0.35">
      <c r="A2735" s="3"/>
      <c r="B2735" s="4"/>
      <c r="C2735" s="4"/>
      <c r="D2735" s="4"/>
      <c r="E2735" s="4"/>
      <c r="F2735" s="4"/>
      <c r="G2735" s="4"/>
      <c r="H2735" s="4"/>
      <c r="I2735" s="4"/>
      <c r="J2735" s="4"/>
      <c r="K2735" s="4"/>
      <c r="L2735" s="4"/>
      <c r="M2735" s="4"/>
      <c r="N2735" s="4"/>
      <c r="O2735" s="4"/>
      <c r="P2735" s="4"/>
      <c r="Q2735" s="4"/>
      <c r="R2735" s="4"/>
      <c r="S2735" s="4"/>
      <c r="T2735" s="4"/>
      <c r="U2735" s="4"/>
      <c r="V2735" s="4"/>
      <c r="W2735" s="4"/>
      <c r="X2735" s="4"/>
      <c r="Y2735" s="4"/>
      <c r="Z2735" s="4"/>
      <c r="AA2735" s="4"/>
      <c r="AB2735" s="5"/>
    </row>
    <row r="2736" spans="1:28" x14ac:dyDescent="0.35">
      <c r="A2736" s="3"/>
      <c r="B2736" s="4"/>
      <c r="C2736" s="4"/>
      <c r="D2736" s="4"/>
      <c r="E2736" s="4"/>
      <c r="F2736" s="4"/>
      <c r="G2736" s="4"/>
      <c r="H2736" s="4"/>
      <c r="I2736" s="4"/>
      <c r="J2736" s="4"/>
      <c r="K2736" s="4"/>
      <c r="L2736" s="4"/>
      <c r="M2736" s="4"/>
      <c r="N2736" s="4"/>
      <c r="O2736" s="4"/>
      <c r="P2736" s="4"/>
      <c r="Q2736" s="4"/>
      <c r="R2736" s="4"/>
      <c r="S2736" s="4"/>
      <c r="T2736" s="4"/>
      <c r="U2736" s="4"/>
      <c r="V2736" s="4"/>
      <c r="W2736" s="4"/>
      <c r="X2736" s="4"/>
      <c r="Y2736" s="4"/>
      <c r="Z2736" s="4"/>
      <c r="AA2736" s="4"/>
      <c r="AB2736" s="5"/>
    </row>
    <row r="2737" spans="1:28" x14ac:dyDescent="0.35">
      <c r="A2737" s="3"/>
      <c r="B2737" s="4"/>
      <c r="C2737" s="4"/>
      <c r="D2737" s="4"/>
      <c r="E2737" s="4"/>
      <c r="F2737" s="4"/>
      <c r="G2737" s="4"/>
      <c r="H2737" s="4"/>
      <c r="I2737" s="4"/>
      <c r="J2737" s="4"/>
      <c r="K2737" s="4"/>
      <c r="L2737" s="4"/>
      <c r="M2737" s="4"/>
      <c r="N2737" s="4"/>
      <c r="O2737" s="4"/>
      <c r="P2737" s="4"/>
      <c r="Q2737" s="4"/>
      <c r="R2737" s="4"/>
      <c r="S2737" s="4"/>
      <c r="T2737" s="4"/>
      <c r="U2737" s="4"/>
      <c r="V2737" s="4"/>
      <c r="W2737" s="4"/>
      <c r="X2737" s="4"/>
      <c r="Y2737" s="4"/>
      <c r="Z2737" s="4"/>
      <c r="AA2737" s="4"/>
      <c r="AB2737" s="5"/>
    </row>
    <row r="2738" spans="1:28" x14ac:dyDescent="0.35">
      <c r="A2738" s="3"/>
      <c r="B2738" s="4"/>
      <c r="C2738" s="4"/>
      <c r="D2738" s="4"/>
      <c r="E2738" s="4"/>
      <c r="F2738" s="4"/>
      <c r="G2738" s="4"/>
      <c r="H2738" s="4"/>
      <c r="I2738" s="4"/>
      <c r="J2738" s="4"/>
      <c r="K2738" s="4"/>
      <c r="L2738" s="4"/>
      <c r="M2738" s="4"/>
      <c r="N2738" s="4"/>
      <c r="O2738" s="4"/>
      <c r="P2738" s="4"/>
      <c r="Q2738" s="4"/>
      <c r="R2738" s="4"/>
      <c r="S2738" s="4"/>
      <c r="T2738" s="4"/>
      <c r="U2738" s="4"/>
      <c r="V2738" s="4"/>
      <c r="W2738" s="4"/>
      <c r="X2738" s="4"/>
      <c r="Y2738" s="4"/>
      <c r="Z2738" s="4"/>
      <c r="AA2738" s="4"/>
      <c r="AB2738" s="5"/>
    </row>
    <row r="2739" spans="1:28" x14ac:dyDescent="0.35">
      <c r="A2739" s="3"/>
      <c r="B2739" s="4"/>
      <c r="C2739" s="4"/>
      <c r="D2739" s="4"/>
      <c r="E2739" s="4"/>
      <c r="F2739" s="4"/>
      <c r="G2739" s="4"/>
      <c r="H2739" s="4"/>
      <c r="I2739" s="4"/>
      <c r="J2739" s="4"/>
      <c r="K2739" s="4"/>
      <c r="L2739" s="4"/>
      <c r="M2739" s="4"/>
      <c r="N2739" s="4"/>
      <c r="O2739" s="4"/>
      <c r="P2739" s="4"/>
      <c r="Q2739" s="4"/>
      <c r="R2739" s="4"/>
      <c r="S2739" s="4"/>
      <c r="T2739" s="4"/>
      <c r="U2739" s="4"/>
      <c r="V2739" s="4"/>
      <c r="W2739" s="4"/>
      <c r="X2739" s="4"/>
      <c r="Y2739" s="4"/>
      <c r="Z2739" s="4"/>
      <c r="AA2739" s="4"/>
      <c r="AB2739" s="5"/>
    </row>
    <row r="2740" spans="1:28" x14ac:dyDescent="0.35">
      <c r="A2740" s="3"/>
      <c r="B2740" s="4"/>
      <c r="C2740" s="4"/>
      <c r="D2740" s="4"/>
      <c r="E2740" s="4"/>
      <c r="F2740" s="4"/>
      <c r="G2740" s="4"/>
      <c r="H2740" s="4"/>
      <c r="I2740" s="4"/>
      <c r="J2740" s="4"/>
      <c r="K2740" s="4"/>
      <c r="L2740" s="4"/>
      <c r="M2740" s="4"/>
      <c r="N2740" s="4"/>
      <c r="O2740" s="4"/>
      <c r="P2740" s="4"/>
      <c r="Q2740" s="4"/>
      <c r="R2740" s="4"/>
      <c r="S2740" s="4"/>
      <c r="T2740" s="4"/>
      <c r="U2740" s="4"/>
      <c r="V2740" s="4"/>
      <c r="W2740" s="4"/>
      <c r="X2740" s="4"/>
      <c r="Y2740" s="4"/>
      <c r="Z2740" s="4"/>
      <c r="AA2740" s="4"/>
      <c r="AB2740" s="5"/>
    </row>
    <row r="2741" spans="1:28" x14ac:dyDescent="0.35">
      <c r="A2741" s="3"/>
      <c r="B2741" s="4"/>
      <c r="C2741" s="4"/>
      <c r="D2741" s="4"/>
      <c r="E2741" s="4"/>
      <c r="F2741" s="4"/>
      <c r="G2741" s="4"/>
      <c r="H2741" s="4"/>
      <c r="I2741" s="4"/>
      <c r="J2741" s="4"/>
      <c r="K2741" s="4"/>
      <c r="L2741" s="4"/>
      <c r="M2741" s="4"/>
      <c r="N2741" s="4"/>
      <c r="O2741" s="4"/>
      <c r="P2741" s="4"/>
      <c r="Q2741" s="4"/>
      <c r="R2741" s="4"/>
      <c r="S2741" s="4"/>
      <c r="T2741" s="4"/>
      <c r="U2741" s="4"/>
      <c r="V2741" s="4"/>
      <c r="W2741" s="4"/>
      <c r="X2741" s="4"/>
      <c r="Y2741" s="4"/>
      <c r="Z2741" s="4"/>
      <c r="AA2741" s="4"/>
      <c r="AB2741" s="5"/>
    </row>
    <row r="2742" spans="1:28" x14ac:dyDescent="0.35">
      <c r="A2742" s="3"/>
      <c r="B2742" s="4"/>
      <c r="C2742" s="4"/>
      <c r="D2742" s="4"/>
      <c r="E2742" s="4"/>
      <c r="F2742" s="4"/>
      <c r="G2742" s="4"/>
      <c r="H2742" s="4"/>
      <c r="I2742" s="4"/>
      <c r="J2742" s="4"/>
      <c r="K2742" s="4"/>
      <c r="L2742" s="4"/>
      <c r="M2742" s="4"/>
      <c r="N2742" s="4"/>
      <c r="O2742" s="4"/>
      <c r="P2742" s="4"/>
      <c r="Q2742" s="4"/>
      <c r="R2742" s="4"/>
      <c r="S2742" s="4"/>
      <c r="T2742" s="4"/>
      <c r="U2742" s="4"/>
      <c r="V2742" s="4"/>
      <c r="W2742" s="4"/>
      <c r="X2742" s="4"/>
      <c r="Y2742" s="4"/>
      <c r="Z2742" s="4"/>
      <c r="AA2742" s="4"/>
      <c r="AB2742" s="5"/>
    </row>
    <row r="2743" spans="1:28" x14ac:dyDescent="0.35">
      <c r="A2743" s="3"/>
      <c r="B2743" s="4"/>
      <c r="C2743" s="4"/>
      <c r="D2743" s="4"/>
      <c r="E2743" s="4"/>
      <c r="F2743" s="4"/>
      <c r="G2743" s="4"/>
      <c r="H2743" s="4"/>
      <c r="I2743" s="4"/>
      <c r="J2743" s="4"/>
      <c r="K2743" s="4"/>
      <c r="L2743" s="4"/>
      <c r="M2743" s="4"/>
      <c r="N2743" s="4"/>
      <c r="O2743" s="4"/>
      <c r="P2743" s="4"/>
      <c r="Q2743" s="4"/>
      <c r="R2743" s="4"/>
      <c r="S2743" s="4"/>
      <c r="T2743" s="4"/>
      <c r="U2743" s="4"/>
      <c r="V2743" s="4"/>
      <c r="W2743" s="4"/>
      <c r="X2743" s="4"/>
      <c r="Y2743" s="4"/>
      <c r="Z2743" s="4"/>
      <c r="AA2743" s="4"/>
      <c r="AB2743" s="5"/>
    </row>
    <row r="2744" spans="1:28" x14ac:dyDescent="0.35">
      <c r="A2744" s="3"/>
      <c r="B2744" s="4"/>
      <c r="C2744" s="4"/>
      <c r="D2744" s="4"/>
      <c r="E2744" s="4"/>
      <c r="F2744" s="4"/>
      <c r="G2744" s="4"/>
      <c r="H2744" s="4"/>
      <c r="I2744" s="4"/>
      <c r="J2744" s="4"/>
      <c r="K2744" s="4"/>
      <c r="L2744" s="4"/>
      <c r="M2744" s="4"/>
      <c r="N2744" s="4"/>
      <c r="O2744" s="4"/>
      <c r="P2744" s="4"/>
      <c r="Q2744" s="4"/>
      <c r="R2744" s="4"/>
      <c r="S2744" s="4"/>
      <c r="T2744" s="4"/>
      <c r="U2744" s="4"/>
      <c r="V2744" s="4"/>
      <c r="W2744" s="4"/>
      <c r="X2744" s="4"/>
      <c r="Y2744" s="4"/>
      <c r="Z2744" s="4"/>
      <c r="AA2744" s="4"/>
      <c r="AB2744" s="5"/>
    </row>
    <row r="2745" spans="1:28" x14ac:dyDescent="0.35">
      <c r="A2745" s="3"/>
      <c r="B2745" s="4"/>
      <c r="C2745" s="4"/>
      <c r="D2745" s="4"/>
      <c r="E2745" s="4"/>
      <c r="F2745" s="4"/>
      <c r="G2745" s="4"/>
      <c r="H2745" s="4"/>
      <c r="I2745" s="4"/>
      <c r="J2745" s="4"/>
      <c r="K2745" s="4"/>
      <c r="L2745" s="4"/>
      <c r="M2745" s="4"/>
      <c r="N2745" s="4"/>
      <c r="O2745" s="4"/>
      <c r="P2745" s="4"/>
      <c r="Q2745" s="4"/>
      <c r="R2745" s="4"/>
      <c r="S2745" s="4"/>
      <c r="T2745" s="4"/>
      <c r="U2745" s="4"/>
      <c r="V2745" s="4"/>
      <c r="W2745" s="4"/>
      <c r="X2745" s="4"/>
      <c r="Y2745" s="4"/>
      <c r="Z2745" s="4"/>
      <c r="AA2745" s="4"/>
      <c r="AB2745" s="5"/>
    </row>
    <row r="2746" spans="1:28" x14ac:dyDescent="0.35">
      <c r="A2746" s="3"/>
      <c r="B2746" s="4"/>
      <c r="C2746" s="4"/>
      <c r="D2746" s="4"/>
      <c r="E2746" s="4"/>
      <c r="F2746" s="4"/>
      <c r="G2746" s="4"/>
      <c r="H2746" s="4"/>
      <c r="I2746" s="4"/>
      <c r="J2746" s="4"/>
      <c r="K2746" s="4"/>
      <c r="L2746" s="4"/>
      <c r="M2746" s="4"/>
      <c r="N2746" s="4"/>
      <c r="O2746" s="4"/>
      <c r="P2746" s="4"/>
      <c r="Q2746" s="4"/>
      <c r="R2746" s="4"/>
      <c r="S2746" s="4"/>
      <c r="T2746" s="4"/>
      <c r="U2746" s="4"/>
      <c r="V2746" s="4"/>
      <c r="W2746" s="4"/>
      <c r="X2746" s="4"/>
      <c r="Y2746" s="4"/>
      <c r="Z2746" s="4"/>
      <c r="AA2746" s="4"/>
      <c r="AB2746" s="5"/>
    </row>
    <row r="2747" spans="1:28" x14ac:dyDescent="0.35">
      <c r="A2747" s="3"/>
      <c r="B2747" s="4"/>
      <c r="C2747" s="4"/>
      <c r="D2747" s="4"/>
      <c r="E2747" s="4"/>
      <c r="F2747" s="4"/>
      <c r="G2747" s="4"/>
      <c r="H2747" s="4"/>
      <c r="I2747" s="4"/>
      <c r="J2747" s="4"/>
      <c r="K2747" s="4"/>
      <c r="L2747" s="4"/>
      <c r="M2747" s="4"/>
      <c r="N2747" s="4"/>
      <c r="O2747" s="4"/>
      <c r="P2747" s="4"/>
      <c r="Q2747" s="4"/>
      <c r="R2747" s="4"/>
      <c r="S2747" s="4"/>
      <c r="T2747" s="4"/>
      <c r="U2747" s="4"/>
      <c r="V2747" s="4"/>
      <c r="W2747" s="4"/>
      <c r="X2747" s="4"/>
      <c r="Y2747" s="4"/>
      <c r="Z2747" s="4"/>
      <c r="AA2747" s="4"/>
      <c r="AB2747" s="5"/>
    </row>
    <row r="2748" spans="1:28" x14ac:dyDescent="0.35">
      <c r="A2748" s="3"/>
      <c r="B2748" s="4"/>
      <c r="C2748" s="4"/>
      <c r="D2748" s="4"/>
      <c r="E2748" s="4"/>
      <c r="F2748" s="4"/>
      <c r="G2748" s="4"/>
      <c r="H2748" s="4"/>
      <c r="I2748" s="4"/>
      <c r="J2748" s="4"/>
      <c r="K2748" s="4"/>
      <c r="L2748" s="4"/>
      <c r="M2748" s="4"/>
      <c r="N2748" s="4"/>
      <c r="O2748" s="4"/>
      <c r="P2748" s="4"/>
      <c r="Q2748" s="4"/>
      <c r="R2748" s="4"/>
      <c r="S2748" s="4"/>
      <c r="T2748" s="4"/>
      <c r="U2748" s="4"/>
      <c r="V2748" s="4"/>
      <c r="W2748" s="4"/>
      <c r="X2748" s="4"/>
      <c r="Y2748" s="4"/>
      <c r="Z2748" s="4"/>
      <c r="AA2748" s="4"/>
      <c r="AB2748" s="5"/>
    </row>
    <row r="2749" spans="1:28" x14ac:dyDescent="0.35">
      <c r="A2749" s="3"/>
      <c r="B2749" s="4"/>
      <c r="C2749" s="4"/>
      <c r="D2749" s="4"/>
      <c r="E2749" s="4"/>
      <c r="F2749" s="4"/>
      <c r="G2749" s="4"/>
      <c r="H2749" s="4"/>
      <c r="I2749" s="4"/>
      <c r="J2749" s="4"/>
      <c r="K2749" s="4"/>
      <c r="L2749" s="4"/>
      <c r="M2749" s="4"/>
      <c r="N2749" s="4"/>
      <c r="O2749" s="4"/>
      <c r="P2749" s="4"/>
      <c r="Q2749" s="4"/>
      <c r="R2749" s="4"/>
      <c r="S2749" s="4"/>
      <c r="T2749" s="4"/>
      <c r="U2749" s="4"/>
      <c r="V2749" s="4"/>
      <c r="W2749" s="4"/>
      <c r="X2749" s="4"/>
      <c r="Y2749" s="4"/>
      <c r="Z2749" s="4"/>
      <c r="AA2749" s="4"/>
      <c r="AB2749" s="5"/>
    </row>
    <row r="2750" spans="1:28" x14ac:dyDescent="0.35">
      <c r="A2750" s="3"/>
      <c r="B2750" s="4"/>
      <c r="C2750" s="4"/>
      <c r="D2750" s="4"/>
      <c r="E2750" s="4"/>
      <c r="F2750" s="4"/>
      <c r="G2750" s="4"/>
      <c r="H2750" s="4"/>
      <c r="I2750" s="4"/>
      <c r="J2750" s="4"/>
      <c r="K2750" s="4"/>
      <c r="L2750" s="4"/>
      <c r="M2750" s="4"/>
      <c r="N2750" s="4"/>
      <c r="O2750" s="4"/>
      <c r="P2750" s="4"/>
      <c r="Q2750" s="4"/>
      <c r="R2750" s="4"/>
      <c r="S2750" s="4"/>
      <c r="T2750" s="4"/>
      <c r="U2750" s="4"/>
      <c r="V2750" s="4"/>
      <c r="W2750" s="4"/>
      <c r="X2750" s="4"/>
      <c r="Y2750" s="4"/>
      <c r="Z2750" s="4"/>
      <c r="AA2750" s="4"/>
      <c r="AB2750" s="5"/>
    </row>
    <row r="2751" spans="1:28" x14ac:dyDescent="0.35">
      <c r="A2751" s="3"/>
      <c r="B2751" s="4"/>
      <c r="C2751" s="4"/>
      <c r="D2751" s="4"/>
      <c r="E2751" s="4"/>
      <c r="F2751" s="4"/>
      <c r="G2751" s="4"/>
      <c r="H2751" s="4"/>
      <c r="I2751" s="4"/>
      <c r="J2751" s="4"/>
      <c r="K2751" s="4"/>
      <c r="L2751" s="4"/>
      <c r="M2751" s="4"/>
      <c r="N2751" s="4"/>
      <c r="O2751" s="4"/>
      <c r="P2751" s="4"/>
      <c r="Q2751" s="4"/>
      <c r="R2751" s="4"/>
      <c r="S2751" s="4"/>
      <c r="T2751" s="4"/>
      <c r="U2751" s="4"/>
      <c r="V2751" s="4"/>
      <c r="W2751" s="4"/>
      <c r="X2751" s="4"/>
      <c r="Y2751" s="4"/>
      <c r="Z2751" s="4"/>
      <c r="AA2751" s="4"/>
      <c r="AB2751" s="5"/>
    </row>
    <row r="2752" spans="1:28" x14ac:dyDescent="0.35">
      <c r="A2752" s="3"/>
      <c r="B2752" s="4"/>
      <c r="C2752" s="4"/>
      <c r="D2752" s="4"/>
      <c r="E2752" s="4"/>
      <c r="F2752" s="4"/>
      <c r="G2752" s="4"/>
      <c r="H2752" s="4"/>
      <c r="I2752" s="4"/>
      <c r="J2752" s="4"/>
      <c r="K2752" s="4"/>
      <c r="L2752" s="4"/>
      <c r="M2752" s="4"/>
      <c r="N2752" s="4"/>
      <c r="O2752" s="4"/>
      <c r="P2752" s="4"/>
      <c r="Q2752" s="4"/>
      <c r="R2752" s="4"/>
      <c r="S2752" s="4"/>
      <c r="T2752" s="4"/>
      <c r="U2752" s="4"/>
      <c r="V2752" s="4"/>
      <c r="W2752" s="4"/>
      <c r="X2752" s="4"/>
      <c r="Y2752" s="4"/>
      <c r="Z2752" s="4"/>
      <c r="AA2752" s="4"/>
      <c r="AB2752" s="5"/>
    </row>
    <row r="2753" spans="1:28" x14ac:dyDescent="0.35">
      <c r="A2753" s="3"/>
      <c r="B2753" s="4"/>
      <c r="C2753" s="4"/>
      <c r="D2753" s="4"/>
      <c r="E2753" s="4"/>
      <c r="F2753" s="4"/>
      <c r="G2753" s="4"/>
      <c r="H2753" s="4"/>
      <c r="I2753" s="4"/>
      <c r="J2753" s="4"/>
      <c r="K2753" s="4"/>
      <c r="L2753" s="4"/>
      <c r="M2753" s="4"/>
      <c r="N2753" s="4"/>
      <c r="O2753" s="4"/>
      <c r="P2753" s="4"/>
      <c r="Q2753" s="4"/>
      <c r="R2753" s="4"/>
      <c r="S2753" s="4"/>
      <c r="T2753" s="4"/>
      <c r="U2753" s="4"/>
      <c r="V2753" s="4"/>
      <c r="W2753" s="4"/>
      <c r="X2753" s="4"/>
      <c r="Y2753" s="4"/>
      <c r="Z2753" s="4"/>
      <c r="AA2753" s="4"/>
      <c r="AB2753" s="5"/>
    </row>
    <row r="2754" spans="1:28" x14ac:dyDescent="0.35">
      <c r="A2754" s="3"/>
      <c r="B2754" s="4"/>
      <c r="C2754" s="4"/>
      <c r="D2754" s="4"/>
      <c r="E2754" s="4"/>
      <c r="F2754" s="4"/>
      <c r="G2754" s="4"/>
      <c r="H2754" s="4"/>
      <c r="I2754" s="4"/>
      <c r="J2754" s="4"/>
      <c r="K2754" s="4"/>
      <c r="L2754" s="4"/>
      <c r="M2754" s="4"/>
      <c r="N2754" s="4"/>
      <c r="O2754" s="4"/>
      <c r="P2754" s="4"/>
      <c r="Q2754" s="4"/>
      <c r="R2754" s="4"/>
      <c r="S2754" s="4"/>
      <c r="T2754" s="4"/>
      <c r="U2754" s="4"/>
      <c r="V2754" s="4"/>
      <c r="W2754" s="4"/>
      <c r="X2754" s="4"/>
      <c r="Y2754" s="4"/>
      <c r="Z2754" s="4"/>
      <c r="AA2754" s="4"/>
      <c r="AB2754" s="5"/>
    </row>
    <row r="2755" spans="1:28" x14ac:dyDescent="0.35">
      <c r="A2755" s="3"/>
      <c r="B2755" s="4"/>
      <c r="C2755" s="4"/>
      <c r="D2755" s="4"/>
      <c r="E2755" s="4"/>
      <c r="F2755" s="4"/>
      <c r="G2755" s="4"/>
      <c r="H2755" s="4"/>
      <c r="I2755" s="4"/>
      <c r="J2755" s="4"/>
      <c r="K2755" s="4"/>
      <c r="L2755" s="4"/>
      <c r="M2755" s="4"/>
      <c r="N2755" s="4"/>
      <c r="O2755" s="4"/>
      <c r="P2755" s="4"/>
      <c r="Q2755" s="4"/>
      <c r="R2755" s="4"/>
      <c r="S2755" s="4"/>
      <c r="T2755" s="4"/>
      <c r="U2755" s="4"/>
      <c r="V2755" s="4"/>
      <c r="W2755" s="4"/>
      <c r="X2755" s="4"/>
      <c r="Y2755" s="4"/>
      <c r="Z2755" s="4"/>
      <c r="AA2755" s="4"/>
      <c r="AB2755" s="5"/>
    </row>
    <row r="2756" spans="1:28" x14ac:dyDescent="0.35">
      <c r="A2756" s="3"/>
      <c r="B2756" s="4"/>
      <c r="C2756" s="4"/>
      <c r="D2756" s="4"/>
      <c r="E2756" s="4"/>
      <c r="F2756" s="4"/>
      <c r="G2756" s="4"/>
      <c r="H2756" s="4"/>
      <c r="I2756" s="4"/>
      <c r="J2756" s="4"/>
      <c r="K2756" s="4"/>
      <c r="L2756" s="4"/>
      <c r="M2756" s="4"/>
      <c r="N2756" s="4"/>
      <c r="O2756" s="4"/>
      <c r="P2756" s="4"/>
      <c r="Q2756" s="4"/>
      <c r="R2756" s="4"/>
      <c r="S2756" s="4"/>
      <c r="T2756" s="4"/>
      <c r="U2756" s="4"/>
      <c r="V2756" s="4"/>
      <c r="W2756" s="4"/>
      <c r="X2756" s="4"/>
      <c r="Y2756" s="4"/>
      <c r="Z2756" s="4"/>
      <c r="AA2756" s="4"/>
      <c r="AB2756" s="5"/>
    </row>
    <row r="2757" spans="1:28" x14ac:dyDescent="0.35">
      <c r="A2757" s="3"/>
      <c r="B2757" s="4"/>
      <c r="C2757" s="4"/>
      <c r="D2757" s="4"/>
      <c r="E2757" s="4"/>
      <c r="F2757" s="4"/>
      <c r="G2757" s="4"/>
      <c r="H2757" s="4"/>
      <c r="I2757" s="4"/>
      <c r="J2757" s="4"/>
      <c r="K2757" s="4"/>
      <c r="L2757" s="4"/>
      <c r="M2757" s="4"/>
      <c r="N2757" s="4"/>
      <c r="O2757" s="4"/>
      <c r="P2757" s="4"/>
      <c r="Q2757" s="4"/>
      <c r="R2757" s="4"/>
      <c r="S2757" s="4"/>
      <c r="T2757" s="4"/>
      <c r="U2757" s="4"/>
      <c r="V2757" s="4"/>
      <c r="W2757" s="4"/>
      <c r="X2757" s="4"/>
      <c r="Y2757" s="4"/>
      <c r="Z2757" s="4"/>
      <c r="AA2757" s="4"/>
      <c r="AB2757" s="5"/>
    </row>
    <row r="2758" spans="1:28" x14ac:dyDescent="0.35">
      <c r="A2758" s="3"/>
      <c r="B2758" s="4"/>
      <c r="C2758" s="4"/>
      <c r="D2758" s="4"/>
      <c r="E2758" s="4"/>
      <c r="F2758" s="4"/>
      <c r="G2758" s="4"/>
      <c r="H2758" s="4"/>
      <c r="I2758" s="4"/>
      <c r="J2758" s="4"/>
      <c r="K2758" s="4"/>
      <c r="L2758" s="4"/>
      <c r="M2758" s="4"/>
      <c r="N2758" s="4"/>
      <c r="O2758" s="4"/>
      <c r="P2758" s="4"/>
      <c r="Q2758" s="4"/>
      <c r="R2758" s="4"/>
      <c r="S2758" s="4"/>
      <c r="T2758" s="4"/>
      <c r="U2758" s="4"/>
      <c r="V2758" s="4"/>
      <c r="W2758" s="4"/>
      <c r="X2758" s="4"/>
      <c r="Y2758" s="4"/>
      <c r="Z2758" s="4"/>
      <c r="AA2758" s="4"/>
      <c r="AB2758" s="5"/>
    </row>
    <row r="2759" spans="1:28" x14ac:dyDescent="0.35">
      <c r="A2759" s="3"/>
      <c r="B2759" s="4"/>
      <c r="C2759" s="4"/>
      <c r="D2759" s="4"/>
      <c r="E2759" s="4"/>
      <c r="F2759" s="4"/>
      <c r="G2759" s="4"/>
      <c r="H2759" s="4"/>
      <c r="I2759" s="4"/>
      <c r="J2759" s="4"/>
      <c r="K2759" s="4"/>
      <c r="L2759" s="4"/>
      <c r="M2759" s="4"/>
      <c r="N2759" s="4"/>
      <c r="O2759" s="4"/>
      <c r="P2759" s="4"/>
      <c r="Q2759" s="4"/>
      <c r="R2759" s="4"/>
      <c r="S2759" s="4"/>
      <c r="T2759" s="4"/>
      <c r="U2759" s="4"/>
      <c r="V2759" s="4"/>
      <c r="W2759" s="4"/>
      <c r="X2759" s="4"/>
      <c r="Y2759" s="4"/>
      <c r="Z2759" s="4"/>
      <c r="AA2759" s="4"/>
      <c r="AB2759" s="5"/>
    </row>
    <row r="2760" spans="1:28" x14ac:dyDescent="0.35">
      <c r="A2760" s="3"/>
      <c r="B2760" s="4"/>
      <c r="C2760" s="4"/>
      <c r="D2760" s="4"/>
      <c r="E2760" s="4"/>
      <c r="F2760" s="4"/>
      <c r="G2760" s="4"/>
      <c r="H2760" s="4"/>
      <c r="I2760" s="4"/>
      <c r="J2760" s="4"/>
      <c r="K2760" s="4"/>
      <c r="L2760" s="4"/>
      <c r="M2760" s="4"/>
      <c r="N2760" s="4"/>
      <c r="O2760" s="4"/>
      <c r="P2760" s="4"/>
      <c r="Q2760" s="4"/>
      <c r="R2760" s="4"/>
      <c r="S2760" s="4"/>
      <c r="T2760" s="4"/>
      <c r="U2760" s="4"/>
      <c r="V2760" s="4"/>
      <c r="W2760" s="4"/>
      <c r="X2760" s="4"/>
      <c r="Y2760" s="4"/>
      <c r="Z2760" s="4"/>
      <c r="AA2760" s="4"/>
      <c r="AB2760" s="5"/>
    </row>
    <row r="2761" spans="1:28" x14ac:dyDescent="0.35">
      <c r="A2761" s="3"/>
      <c r="B2761" s="4"/>
      <c r="C2761" s="4"/>
      <c r="D2761" s="4"/>
      <c r="E2761" s="4"/>
      <c r="F2761" s="4"/>
      <c r="G2761" s="4"/>
      <c r="H2761" s="4"/>
      <c r="I2761" s="4"/>
      <c r="J2761" s="4"/>
      <c r="K2761" s="4"/>
      <c r="L2761" s="4"/>
      <c r="M2761" s="4"/>
      <c r="N2761" s="4"/>
      <c r="O2761" s="4"/>
      <c r="P2761" s="4"/>
      <c r="Q2761" s="4"/>
      <c r="R2761" s="4"/>
      <c r="S2761" s="4"/>
      <c r="T2761" s="4"/>
      <c r="U2761" s="4"/>
      <c r="V2761" s="4"/>
      <c r="W2761" s="4"/>
      <c r="X2761" s="4"/>
      <c r="Y2761" s="4"/>
      <c r="Z2761" s="4"/>
      <c r="AA2761" s="4"/>
      <c r="AB2761" s="5"/>
    </row>
    <row r="2762" spans="1:28" x14ac:dyDescent="0.35">
      <c r="A2762" s="3"/>
      <c r="B2762" s="4"/>
      <c r="C2762" s="4"/>
      <c r="D2762" s="4"/>
      <c r="E2762" s="4"/>
      <c r="F2762" s="4"/>
      <c r="G2762" s="4"/>
      <c r="H2762" s="4"/>
      <c r="I2762" s="4"/>
      <c r="J2762" s="4"/>
      <c r="K2762" s="4"/>
      <c r="L2762" s="4"/>
      <c r="M2762" s="4"/>
      <c r="N2762" s="4"/>
      <c r="O2762" s="4"/>
      <c r="P2762" s="4"/>
      <c r="Q2762" s="4"/>
      <c r="R2762" s="4"/>
      <c r="S2762" s="4"/>
      <c r="T2762" s="4"/>
      <c r="U2762" s="4"/>
      <c r="V2762" s="4"/>
      <c r="W2762" s="4"/>
      <c r="X2762" s="4"/>
      <c r="Y2762" s="4"/>
      <c r="Z2762" s="4"/>
      <c r="AA2762" s="4"/>
      <c r="AB2762" s="5"/>
    </row>
    <row r="2763" spans="1:28" x14ac:dyDescent="0.35">
      <c r="A2763" s="3"/>
      <c r="B2763" s="4"/>
      <c r="C2763" s="4"/>
      <c r="D2763" s="4"/>
      <c r="E2763" s="4"/>
      <c r="F2763" s="4"/>
      <c r="G2763" s="4"/>
      <c r="H2763" s="4"/>
      <c r="I2763" s="4"/>
      <c r="J2763" s="4"/>
      <c r="K2763" s="4"/>
      <c r="L2763" s="4"/>
      <c r="M2763" s="4"/>
      <c r="N2763" s="4"/>
      <c r="O2763" s="4"/>
      <c r="P2763" s="4"/>
      <c r="Q2763" s="4"/>
      <c r="R2763" s="4"/>
      <c r="S2763" s="4"/>
      <c r="T2763" s="4"/>
      <c r="U2763" s="4"/>
      <c r="V2763" s="4"/>
      <c r="W2763" s="4"/>
      <c r="X2763" s="4"/>
      <c r="Y2763" s="4"/>
      <c r="Z2763" s="4"/>
      <c r="AA2763" s="4"/>
      <c r="AB2763" s="5"/>
    </row>
    <row r="2764" spans="1:28" x14ac:dyDescent="0.35">
      <c r="A2764" s="3"/>
      <c r="B2764" s="4"/>
      <c r="C2764" s="4"/>
      <c r="D2764" s="4"/>
      <c r="E2764" s="4"/>
      <c r="F2764" s="4"/>
      <c r="G2764" s="4"/>
      <c r="H2764" s="4"/>
      <c r="I2764" s="4"/>
      <c r="J2764" s="4"/>
      <c r="K2764" s="4"/>
      <c r="L2764" s="4"/>
      <c r="M2764" s="4"/>
      <c r="N2764" s="4"/>
      <c r="O2764" s="4"/>
      <c r="P2764" s="4"/>
      <c r="Q2764" s="4"/>
      <c r="R2764" s="4"/>
      <c r="S2764" s="4"/>
      <c r="T2764" s="4"/>
      <c r="U2764" s="4"/>
      <c r="V2764" s="4"/>
      <c r="W2764" s="4"/>
      <c r="X2764" s="4"/>
      <c r="Y2764" s="4"/>
      <c r="Z2764" s="4"/>
      <c r="AA2764" s="4"/>
      <c r="AB2764" s="5"/>
    </row>
    <row r="2765" spans="1:28" x14ac:dyDescent="0.35">
      <c r="A2765" s="3"/>
      <c r="B2765" s="4"/>
      <c r="C2765" s="4"/>
      <c r="D2765" s="4"/>
      <c r="E2765" s="4"/>
      <c r="F2765" s="4"/>
      <c r="G2765" s="4"/>
      <c r="H2765" s="4"/>
      <c r="I2765" s="4"/>
      <c r="J2765" s="4"/>
      <c r="K2765" s="4"/>
      <c r="L2765" s="4"/>
      <c r="M2765" s="4"/>
      <c r="N2765" s="4"/>
      <c r="O2765" s="4"/>
      <c r="P2765" s="4"/>
      <c r="Q2765" s="4"/>
      <c r="R2765" s="4"/>
      <c r="S2765" s="4"/>
      <c r="T2765" s="4"/>
      <c r="U2765" s="4"/>
      <c r="V2765" s="4"/>
      <c r="W2765" s="4"/>
      <c r="X2765" s="4"/>
      <c r="Y2765" s="4"/>
      <c r="Z2765" s="4"/>
      <c r="AA2765" s="4"/>
      <c r="AB2765" s="5"/>
    </row>
    <row r="2766" spans="1:28" x14ac:dyDescent="0.35">
      <c r="A2766" s="3"/>
      <c r="B2766" s="4"/>
      <c r="C2766" s="4"/>
      <c r="D2766" s="4"/>
      <c r="E2766" s="4"/>
      <c r="F2766" s="4"/>
      <c r="G2766" s="4"/>
      <c r="H2766" s="4"/>
      <c r="I2766" s="4"/>
      <c r="J2766" s="4"/>
      <c r="K2766" s="4"/>
      <c r="L2766" s="4"/>
      <c r="M2766" s="4"/>
      <c r="N2766" s="4"/>
      <c r="O2766" s="4"/>
      <c r="P2766" s="4"/>
      <c r="Q2766" s="4"/>
      <c r="R2766" s="4"/>
      <c r="S2766" s="4"/>
      <c r="T2766" s="4"/>
      <c r="U2766" s="4"/>
      <c r="V2766" s="4"/>
      <c r="W2766" s="4"/>
      <c r="X2766" s="4"/>
      <c r="Y2766" s="4"/>
      <c r="Z2766" s="4"/>
      <c r="AA2766" s="4"/>
      <c r="AB2766" s="5"/>
    </row>
    <row r="2767" spans="1:28" x14ac:dyDescent="0.35">
      <c r="A2767" s="3"/>
      <c r="B2767" s="4"/>
      <c r="C2767" s="4"/>
      <c r="D2767" s="4"/>
      <c r="E2767" s="4"/>
      <c r="F2767" s="4"/>
      <c r="G2767" s="4"/>
      <c r="H2767" s="4"/>
      <c r="I2767" s="4"/>
      <c r="J2767" s="4"/>
      <c r="K2767" s="4"/>
      <c r="L2767" s="4"/>
      <c r="M2767" s="4"/>
      <c r="N2767" s="4"/>
      <c r="O2767" s="4"/>
      <c r="P2767" s="4"/>
      <c r="Q2767" s="4"/>
      <c r="R2767" s="4"/>
      <c r="S2767" s="4"/>
      <c r="T2767" s="4"/>
      <c r="U2767" s="4"/>
      <c r="V2767" s="4"/>
      <c r="W2767" s="4"/>
      <c r="X2767" s="4"/>
      <c r="Y2767" s="4"/>
      <c r="Z2767" s="4"/>
      <c r="AA2767" s="4"/>
      <c r="AB2767" s="5"/>
    </row>
    <row r="2768" spans="1:28" x14ac:dyDescent="0.35">
      <c r="A2768" s="3"/>
      <c r="B2768" s="4"/>
      <c r="C2768" s="4"/>
      <c r="D2768" s="4"/>
      <c r="E2768" s="4"/>
      <c r="F2768" s="4"/>
      <c r="G2768" s="4"/>
      <c r="H2768" s="4"/>
      <c r="I2768" s="4"/>
      <c r="J2768" s="4"/>
      <c r="K2768" s="4"/>
      <c r="L2768" s="4"/>
      <c r="M2768" s="4"/>
      <c r="N2768" s="4"/>
      <c r="O2768" s="4"/>
      <c r="P2768" s="4"/>
      <c r="Q2768" s="4"/>
      <c r="R2768" s="4"/>
      <c r="S2768" s="4"/>
      <c r="T2768" s="4"/>
      <c r="U2768" s="4"/>
      <c r="V2768" s="4"/>
      <c r="W2768" s="4"/>
      <c r="X2768" s="4"/>
      <c r="Y2768" s="4"/>
      <c r="Z2768" s="4"/>
      <c r="AA2768" s="4"/>
      <c r="AB2768" s="5"/>
    </row>
    <row r="2769" spans="1:28" x14ac:dyDescent="0.35">
      <c r="A2769" s="3"/>
      <c r="B2769" s="4"/>
      <c r="C2769" s="4"/>
      <c r="D2769" s="4"/>
      <c r="E2769" s="4"/>
      <c r="F2769" s="4"/>
      <c r="G2769" s="4"/>
      <c r="H2769" s="4"/>
      <c r="I2769" s="4"/>
      <c r="J2769" s="4"/>
      <c r="K2769" s="4"/>
      <c r="L2769" s="4"/>
      <c r="M2769" s="4"/>
      <c r="N2769" s="4"/>
      <c r="O2769" s="4"/>
      <c r="P2769" s="4"/>
      <c r="Q2769" s="4"/>
      <c r="R2769" s="4"/>
      <c r="S2769" s="4"/>
      <c r="T2769" s="4"/>
      <c r="U2769" s="4"/>
      <c r="V2769" s="4"/>
      <c r="W2769" s="4"/>
      <c r="X2769" s="4"/>
      <c r="Y2769" s="4"/>
      <c r="Z2769" s="4"/>
      <c r="AA2769" s="4"/>
      <c r="AB2769" s="5"/>
    </row>
    <row r="2770" spans="1:28" x14ac:dyDescent="0.35">
      <c r="A2770" s="3"/>
      <c r="B2770" s="4"/>
      <c r="C2770" s="4"/>
      <c r="D2770" s="4"/>
      <c r="E2770" s="4"/>
      <c r="F2770" s="4"/>
      <c r="G2770" s="4"/>
      <c r="H2770" s="4"/>
      <c r="I2770" s="4"/>
      <c r="J2770" s="4"/>
      <c r="K2770" s="4"/>
      <c r="L2770" s="4"/>
      <c r="M2770" s="4"/>
      <c r="N2770" s="4"/>
      <c r="O2770" s="4"/>
      <c r="P2770" s="4"/>
      <c r="Q2770" s="4"/>
      <c r="R2770" s="4"/>
      <c r="S2770" s="4"/>
      <c r="T2770" s="4"/>
      <c r="U2770" s="4"/>
      <c r="V2770" s="4"/>
      <c r="W2770" s="4"/>
      <c r="X2770" s="4"/>
      <c r="Y2770" s="4"/>
      <c r="Z2770" s="4"/>
      <c r="AA2770" s="4"/>
      <c r="AB2770" s="5"/>
    </row>
    <row r="2771" spans="1:28" x14ac:dyDescent="0.35">
      <c r="A2771" s="3"/>
      <c r="B2771" s="4"/>
      <c r="C2771" s="4"/>
      <c r="D2771" s="4"/>
      <c r="E2771" s="4"/>
      <c r="F2771" s="4"/>
      <c r="G2771" s="4"/>
      <c r="H2771" s="4"/>
      <c r="I2771" s="4"/>
      <c r="J2771" s="4"/>
      <c r="K2771" s="4"/>
      <c r="L2771" s="4"/>
      <c r="M2771" s="4"/>
      <c r="N2771" s="4"/>
      <c r="O2771" s="4"/>
      <c r="P2771" s="4"/>
      <c r="Q2771" s="4"/>
      <c r="R2771" s="4"/>
      <c r="S2771" s="4"/>
      <c r="T2771" s="4"/>
      <c r="U2771" s="4"/>
      <c r="V2771" s="4"/>
      <c r="W2771" s="4"/>
      <c r="X2771" s="4"/>
      <c r="Y2771" s="4"/>
      <c r="Z2771" s="4"/>
      <c r="AA2771" s="4"/>
      <c r="AB2771" s="5"/>
    </row>
    <row r="2772" spans="1:28" x14ac:dyDescent="0.35">
      <c r="A2772" s="3"/>
      <c r="B2772" s="4"/>
      <c r="C2772" s="4"/>
      <c r="D2772" s="4"/>
      <c r="E2772" s="4"/>
      <c r="F2772" s="4"/>
      <c r="G2772" s="4"/>
      <c r="H2772" s="4"/>
      <c r="I2772" s="4"/>
      <c r="J2772" s="4"/>
      <c r="K2772" s="4"/>
      <c r="L2772" s="4"/>
      <c r="M2772" s="4"/>
      <c r="N2772" s="4"/>
      <c r="O2772" s="4"/>
      <c r="P2772" s="4"/>
      <c r="Q2772" s="4"/>
      <c r="R2772" s="4"/>
      <c r="S2772" s="4"/>
      <c r="T2772" s="4"/>
      <c r="U2772" s="4"/>
      <c r="V2772" s="4"/>
      <c r="W2772" s="4"/>
      <c r="X2772" s="4"/>
      <c r="Y2772" s="4"/>
      <c r="Z2772" s="4"/>
      <c r="AA2772" s="4"/>
      <c r="AB2772" s="5"/>
    </row>
    <row r="2773" spans="1:28" x14ac:dyDescent="0.35">
      <c r="A2773" s="3"/>
      <c r="B2773" s="4"/>
      <c r="C2773" s="4"/>
      <c r="D2773" s="4"/>
      <c r="E2773" s="4"/>
      <c r="F2773" s="4"/>
      <c r="G2773" s="4"/>
      <c r="H2773" s="4"/>
      <c r="I2773" s="4"/>
      <c r="J2773" s="4"/>
      <c r="K2773" s="4"/>
      <c r="L2773" s="4"/>
      <c r="M2773" s="4"/>
      <c r="N2773" s="4"/>
      <c r="O2773" s="4"/>
      <c r="P2773" s="4"/>
      <c r="Q2773" s="4"/>
      <c r="R2773" s="4"/>
      <c r="S2773" s="4"/>
      <c r="T2773" s="4"/>
      <c r="U2773" s="4"/>
      <c r="V2773" s="4"/>
      <c r="W2773" s="4"/>
      <c r="X2773" s="4"/>
      <c r="Y2773" s="4"/>
      <c r="Z2773" s="4"/>
      <c r="AA2773" s="4"/>
      <c r="AB2773" s="5"/>
    </row>
    <row r="2774" spans="1:28" x14ac:dyDescent="0.35">
      <c r="A2774" s="3"/>
      <c r="B2774" s="4"/>
      <c r="C2774" s="4"/>
      <c r="D2774" s="4"/>
      <c r="E2774" s="4"/>
      <c r="F2774" s="4"/>
      <c r="G2774" s="4"/>
      <c r="H2774" s="4"/>
      <c r="I2774" s="4"/>
      <c r="J2774" s="4"/>
      <c r="K2774" s="4"/>
      <c r="L2774" s="4"/>
      <c r="M2774" s="4"/>
      <c r="N2774" s="4"/>
      <c r="O2774" s="4"/>
      <c r="P2774" s="4"/>
      <c r="Q2774" s="4"/>
      <c r="R2774" s="4"/>
      <c r="S2774" s="4"/>
      <c r="T2774" s="4"/>
      <c r="U2774" s="4"/>
      <c r="V2774" s="4"/>
      <c r="W2774" s="4"/>
      <c r="X2774" s="4"/>
      <c r="Y2774" s="4"/>
      <c r="Z2774" s="4"/>
      <c r="AA2774" s="4"/>
      <c r="AB2774" s="5"/>
    </row>
    <row r="2775" spans="1:28" x14ac:dyDescent="0.35">
      <c r="A2775" s="3"/>
      <c r="B2775" s="4"/>
      <c r="C2775" s="4"/>
      <c r="D2775" s="4"/>
      <c r="E2775" s="4"/>
      <c r="F2775" s="4"/>
      <c r="G2775" s="4"/>
      <c r="H2775" s="4"/>
      <c r="I2775" s="4"/>
      <c r="J2775" s="4"/>
      <c r="K2775" s="4"/>
      <c r="L2775" s="4"/>
      <c r="M2775" s="4"/>
      <c r="N2775" s="4"/>
      <c r="O2775" s="4"/>
      <c r="P2775" s="4"/>
      <c r="Q2775" s="4"/>
      <c r="R2775" s="4"/>
      <c r="S2775" s="4"/>
      <c r="T2775" s="4"/>
      <c r="U2775" s="4"/>
      <c r="V2775" s="4"/>
      <c r="W2775" s="4"/>
      <c r="X2775" s="4"/>
      <c r="Y2775" s="4"/>
      <c r="Z2775" s="4"/>
      <c r="AA2775" s="4"/>
      <c r="AB2775" s="5"/>
    </row>
    <row r="2776" spans="1:28" x14ac:dyDescent="0.35">
      <c r="A2776" s="3"/>
      <c r="B2776" s="4"/>
      <c r="C2776" s="4"/>
      <c r="D2776" s="4"/>
      <c r="E2776" s="4"/>
      <c r="F2776" s="4"/>
      <c r="G2776" s="4"/>
      <c r="H2776" s="4"/>
      <c r="I2776" s="4"/>
      <c r="J2776" s="4"/>
      <c r="K2776" s="4"/>
      <c r="L2776" s="4"/>
      <c r="M2776" s="4"/>
      <c r="N2776" s="4"/>
      <c r="O2776" s="4"/>
      <c r="P2776" s="4"/>
      <c r="Q2776" s="4"/>
      <c r="R2776" s="4"/>
      <c r="S2776" s="4"/>
      <c r="T2776" s="4"/>
      <c r="U2776" s="4"/>
      <c r="V2776" s="4"/>
      <c r="W2776" s="4"/>
      <c r="X2776" s="4"/>
      <c r="Y2776" s="4"/>
      <c r="Z2776" s="4"/>
      <c r="AA2776" s="4"/>
      <c r="AB2776" s="5"/>
    </row>
    <row r="2777" spans="1:28" x14ac:dyDescent="0.35">
      <c r="A2777" s="3"/>
      <c r="B2777" s="4"/>
      <c r="C2777" s="4"/>
      <c r="D2777" s="4"/>
      <c r="E2777" s="4"/>
      <c r="F2777" s="4"/>
      <c r="G2777" s="4"/>
      <c r="H2777" s="4"/>
      <c r="I2777" s="4"/>
      <c r="J2777" s="4"/>
      <c r="K2777" s="4"/>
      <c r="L2777" s="4"/>
      <c r="M2777" s="4"/>
      <c r="N2777" s="4"/>
      <c r="O2777" s="4"/>
      <c r="P2777" s="4"/>
      <c r="Q2777" s="4"/>
      <c r="R2777" s="4"/>
      <c r="S2777" s="4"/>
      <c r="T2777" s="4"/>
      <c r="U2777" s="4"/>
      <c r="V2777" s="4"/>
      <c r="W2777" s="4"/>
      <c r="X2777" s="4"/>
      <c r="Y2777" s="4"/>
      <c r="Z2777" s="4"/>
      <c r="AA2777" s="4"/>
      <c r="AB2777" s="5"/>
    </row>
    <row r="2778" spans="1:28" x14ac:dyDescent="0.35">
      <c r="A2778" s="3"/>
      <c r="B2778" s="4"/>
      <c r="C2778" s="4"/>
      <c r="D2778" s="4"/>
      <c r="E2778" s="4"/>
      <c r="F2778" s="4"/>
      <c r="G2778" s="4"/>
      <c r="H2778" s="4"/>
      <c r="I2778" s="4"/>
      <c r="J2778" s="4"/>
      <c r="K2778" s="4"/>
      <c r="L2778" s="4"/>
      <c r="M2778" s="4"/>
      <c r="N2778" s="4"/>
      <c r="O2778" s="4"/>
      <c r="P2778" s="4"/>
      <c r="Q2778" s="4"/>
      <c r="R2778" s="4"/>
      <c r="S2778" s="4"/>
      <c r="T2778" s="4"/>
      <c r="U2778" s="4"/>
      <c r="V2778" s="4"/>
      <c r="W2778" s="4"/>
      <c r="X2778" s="4"/>
      <c r="Y2778" s="4"/>
      <c r="Z2778" s="4"/>
      <c r="AA2778" s="4"/>
      <c r="AB2778" s="5"/>
    </row>
    <row r="2779" spans="1:28" x14ac:dyDescent="0.35">
      <c r="A2779" s="3"/>
      <c r="B2779" s="4"/>
      <c r="C2779" s="4"/>
      <c r="D2779" s="4"/>
      <c r="E2779" s="4"/>
      <c r="F2779" s="4"/>
      <c r="G2779" s="4"/>
      <c r="H2779" s="4"/>
      <c r="I2779" s="4"/>
      <c r="J2779" s="4"/>
      <c r="K2779" s="4"/>
      <c r="L2779" s="4"/>
      <c r="M2779" s="4"/>
      <c r="N2779" s="4"/>
      <c r="O2779" s="4"/>
      <c r="P2779" s="4"/>
      <c r="Q2779" s="4"/>
      <c r="R2779" s="4"/>
      <c r="S2779" s="4"/>
      <c r="T2779" s="4"/>
      <c r="U2779" s="4"/>
      <c r="V2779" s="4"/>
      <c r="W2779" s="4"/>
      <c r="X2779" s="4"/>
      <c r="Y2779" s="4"/>
      <c r="Z2779" s="4"/>
      <c r="AA2779" s="4"/>
      <c r="AB2779" s="5"/>
    </row>
    <row r="2780" spans="1:28" x14ac:dyDescent="0.35">
      <c r="A2780" s="3"/>
      <c r="B2780" s="4"/>
      <c r="C2780" s="4"/>
      <c r="D2780" s="4"/>
      <c r="E2780" s="4"/>
      <c r="F2780" s="4"/>
      <c r="G2780" s="4"/>
      <c r="H2780" s="4"/>
      <c r="I2780" s="4"/>
      <c r="J2780" s="4"/>
      <c r="K2780" s="4"/>
      <c r="L2780" s="4"/>
      <c r="M2780" s="4"/>
      <c r="N2780" s="4"/>
      <c r="O2780" s="4"/>
      <c r="P2780" s="4"/>
      <c r="Q2780" s="4"/>
      <c r="R2780" s="4"/>
      <c r="S2780" s="4"/>
      <c r="T2780" s="4"/>
      <c r="U2780" s="4"/>
      <c r="V2780" s="4"/>
      <c r="W2780" s="4"/>
      <c r="X2780" s="4"/>
      <c r="Y2780" s="4"/>
      <c r="Z2780" s="4"/>
      <c r="AA2780" s="4"/>
      <c r="AB2780" s="5"/>
    </row>
    <row r="2781" spans="1:28" x14ac:dyDescent="0.35">
      <c r="A2781" s="3"/>
      <c r="B2781" s="4"/>
      <c r="C2781" s="4"/>
      <c r="D2781" s="4"/>
      <c r="E2781" s="4"/>
      <c r="F2781" s="4"/>
      <c r="G2781" s="4"/>
      <c r="H2781" s="4"/>
      <c r="I2781" s="4"/>
      <c r="J2781" s="4"/>
      <c r="K2781" s="4"/>
      <c r="L2781" s="4"/>
      <c r="M2781" s="4"/>
      <c r="N2781" s="4"/>
      <c r="O2781" s="4"/>
      <c r="P2781" s="4"/>
      <c r="Q2781" s="4"/>
      <c r="R2781" s="4"/>
      <c r="S2781" s="4"/>
      <c r="T2781" s="4"/>
      <c r="U2781" s="4"/>
      <c r="V2781" s="4"/>
      <c r="W2781" s="4"/>
      <c r="X2781" s="4"/>
      <c r="Y2781" s="4"/>
      <c r="Z2781" s="4"/>
      <c r="AA2781" s="4"/>
      <c r="AB2781" s="5"/>
    </row>
    <row r="2782" spans="1:28" x14ac:dyDescent="0.35">
      <c r="A2782" s="3"/>
      <c r="B2782" s="4"/>
      <c r="C2782" s="4"/>
      <c r="D2782" s="4"/>
      <c r="E2782" s="4"/>
      <c r="F2782" s="4"/>
      <c r="G2782" s="4"/>
      <c r="H2782" s="4"/>
      <c r="I2782" s="4"/>
      <c r="J2782" s="4"/>
      <c r="K2782" s="4"/>
      <c r="L2782" s="4"/>
      <c r="M2782" s="4"/>
      <c r="N2782" s="4"/>
      <c r="O2782" s="4"/>
      <c r="P2782" s="4"/>
      <c r="Q2782" s="4"/>
      <c r="R2782" s="4"/>
      <c r="S2782" s="4"/>
      <c r="T2782" s="4"/>
      <c r="U2782" s="4"/>
      <c r="V2782" s="4"/>
      <c r="W2782" s="4"/>
      <c r="X2782" s="4"/>
      <c r="Y2782" s="4"/>
      <c r="Z2782" s="4"/>
      <c r="AA2782" s="4"/>
      <c r="AB2782" s="5"/>
    </row>
    <row r="2783" spans="1:28" x14ac:dyDescent="0.35">
      <c r="A2783" s="3"/>
      <c r="B2783" s="4"/>
      <c r="C2783" s="4"/>
      <c r="D2783" s="4"/>
      <c r="E2783" s="4"/>
      <c r="F2783" s="4"/>
      <c r="G2783" s="4"/>
      <c r="H2783" s="4"/>
      <c r="I2783" s="4"/>
      <c r="J2783" s="4"/>
      <c r="K2783" s="4"/>
      <c r="L2783" s="4"/>
      <c r="M2783" s="4"/>
      <c r="N2783" s="4"/>
      <c r="O2783" s="4"/>
      <c r="P2783" s="4"/>
      <c r="Q2783" s="4"/>
      <c r="R2783" s="4"/>
      <c r="S2783" s="4"/>
      <c r="T2783" s="4"/>
      <c r="U2783" s="4"/>
      <c r="V2783" s="4"/>
      <c r="W2783" s="4"/>
      <c r="X2783" s="4"/>
      <c r="Y2783" s="4"/>
      <c r="Z2783" s="4"/>
      <c r="AA2783" s="4"/>
      <c r="AB2783" s="5"/>
    </row>
    <row r="2784" spans="1:28" x14ac:dyDescent="0.35">
      <c r="A2784" s="3"/>
      <c r="B2784" s="4"/>
      <c r="C2784" s="4"/>
      <c r="D2784" s="4"/>
      <c r="E2784" s="4"/>
      <c r="F2784" s="4"/>
      <c r="G2784" s="4"/>
      <c r="H2784" s="4"/>
      <c r="I2784" s="4"/>
      <c r="J2784" s="4"/>
      <c r="K2784" s="4"/>
      <c r="L2784" s="4"/>
      <c r="M2784" s="4"/>
      <c r="N2784" s="4"/>
      <c r="O2784" s="4"/>
      <c r="P2784" s="4"/>
      <c r="Q2784" s="4"/>
      <c r="R2784" s="4"/>
      <c r="S2784" s="4"/>
      <c r="T2784" s="4"/>
      <c r="U2784" s="4"/>
      <c r="V2784" s="4"/>
      <c r="W2784" s="4"/>
      <c r="X2784" s="4"/>
      <c r="Y2784" s="4"/>
      <c r="Z2784" s="4"/>
      <c r="AA2784" s="4"/>
      <c r="AB2784" s="5"/>
    </row>
    <row r="2785" spans="1:28" x14ac:dyDescent="0.35">
      <c r="A2785" s="3"/>
      <c r="B2785" s="4"/>
      <c r="C2785" s="4"/>
      <c r="D2785" s="4"/>
      <c r="E2785" s="4"/>
      <c r="F2785" s="4"/>
      <c r="G2785" s="4"/>
      <c r="H2785" s="4"/>
      <c r="I2785" s="4"/>
      <c r="J2785" s="4"/>
      <c r="K2785" s="4"/>
      <c r="L2785" s="4"/>
      <c r="M2785" s="4"/>
      <c r="N2785" s="4"/>
      <c r="O2785" s="4"/>
      <c r="P2785" s="4"/>
      <c r="Q2785" s="4"/>
      <c r="R2785" s="4"/>
      <c r="S2785" s="4"/>
      <c r="T2785" s="4"/>
      <c r="U2785" s="4"/>
      <c r="V2785" s="4"/>
      <c r="W2785" s="4"/>
      <c r="X2785" s="4"/>
      <c r="Y2785" s="4"/>
      <c r="Z2785" s="4"/>
      <c r="AA2785" s="4"/>
      <c r="AB2785" s="5"/>
    </row>
    <row r="2786" spans="1:28" x14ac:dyDescent="0.35">
      <c r="A2786" s="3"/>
      <c r="B2786" s="4"/>
      <c r="C2786" s="4"/>
      <c r="D2786" s="4"/>
      <c r="E2786" s="4"/>
      <c r="F2786" s="4"/>
      <c r="G2786" s="4"/>
      <c r="H2786" s="4"/>
      <c r="I2786" s="4"/>
      <c r="J2786" s="4"/>
      <c r="K2786" s="4"/>
      <c r="L2786" s="4"/>
      <c r="M2786" s="4"/>
      <c r="N2786" s="4"/>
      <c r="O2786" s="4"/>
      <c r="P2786" s="4"/>
      <c r="Q2786" s="4"/>
      <c r="R2786" s="4"/>
      <c r="S2786" s="4"/>
      <c r="T2786" s="4"/>
      <c r="U2786" s="4"/>
      <c r="V2786" s="4"/>
      <c r="W2786" s="4"/>
      <c r="X2786" s="4"/>
      <c r="Y2786" s="4"/>
      <c r="Z2786" s="4"/>
      <c r="AA2786" s="4"/>
      <c r="AB2786" s="5"/>
    </row>
    <row r="2787" spans="1:28" x14ac:dyDescent="0.35">
      <c r="A2787" s="3"/>
      <c r="B2787" s="4"/>
      <c r="C2787" s="4"/>
      <c r="D2787" s="4"/>
      <c r="E2787" s="4"/>
      <c r="F2787" s="4"/>
      <c r="G2787" s="4"/>
      <c r="H2787" s="4"/>
      <c r="I2787" s="4"/>
      <c r="J2787" s="4"/>
      <c r="K2787" s="4"/>
      <c r="L2787" s="4"/>
      <c r="M2787" s="4"/>
      <c r="N2787" s="4"/>
      <c r="O2787" s="4"/>
      <c r="P2787" s="4"/>
      <c r="Q2787" s="4"/>
      <c r="R2787" s="4"/>
      <c r="S2787" s="4"/>
      <c r="T2787" s="4"/>
      <c r="U2787" s="4"/>
      <c r="V2787" s="4"/>
      <c r="W2787" s="4"/>
      <c r="X2787" s="4"/>
      <c r="Y2787" s="4"/>
      <c r="Z2787" s="4"/>
      <c r="AA2787" s="4"/>
      <c r="AB2787" s="5"/>
    </row>
    <row r="2788" spans="1:28" x14ac:dyDescent="0.35">
      <c r="A2788" s="3"/>
      <c r="B2788" s="4"/>
      <c r="C2788" s="4"/>
      <c r="D2788" s="4"/>
      <c r="E2788" s="4"/>
      <c r="F2788" s="4"/>
      <c r="G2788" s="4"/>
      <c r="H2788" s="4"/>
      <c r="I2788" s="4"/>
      <c r="J2788" s="4"/>
      <c r="K2788" s="4"/>
      <c r="L2788" s="4"/>
      <c r="M2788" s="4"/>
      <c r="N2788" s="4"/>
      <c r="O2788" s="4"/>
      <c r="P2788" s="4"/>
      <c r="Q2788" s="4"/>
      <c r="R2788" s="4"/>
      <c r="S2788" s="4"/>
      <c r="T2788" s="4"/>
      <c r="U2788" s="4"/>
      <c r="V2788" s="4"/>
      <c r="W2788" s="4"/>
      <c r="X2788" s="4"/>
      <c r="Y2788" s="4"/>
      <c r="Z2788" s="4"/>
      <c r="AA2788" s="4"/>
      <c r="AB2788" s="5"/>
    </row>
    <row r="2789" spans="1:28" x14ac:dyDescent="0.35">
      <c r="A2789" s="3"/>
      <c r="B2789" s="4"/>
      <c r="C2789" s="4"/>
      <c r="D2789" s="4"/>
      <c r="E2789" s="4"/>
      <c r="F2789" s="4"/>
      <c r="G2789" s="4"/>
      <c r="H2789" s="4"/>
      <c r="I2789" s="4"/>
      <c r="J2789" s="4"/>
      <c r="K2789" s="4"/>
      <c r="L2789" s="4"/>
      <c r="M2789" s="4"/>
      <c r="N2789" s="4"/>
      <c r="O2789" s="4"/>
      <c r="P2789" s="4"/>
      <c r="Q2789" s="4"/>
      <c r="R2789" s="4"/>
      <c r="S2789" s="4"/>
      <c r="T2789" s="4"/>
      <c r="U2789" s="4"/>
      <c r="V2789" s="4"/>
      <c r="W2789" s="4"/>
      <c r="X2789" s="4"/>
      <c r="Y2789" s="4"/>
      <c r="Z2789" s="4"/>
      <c r="AA2789" s="4"/>
      <c r="AB2789" s="5"/>
    </row>
    <row r="2790" spans="1:28" x14ac:dyDescent="0.35">
      <c r="A2790" s="3"/>
      <c r="B2790" s="4"/>
      <c r="C2790" s="4"/>
      <c r="D2790" s="4"/>
      <c r="E2790" s="4"/>
      <c r="F2790" s="4"/>
      <c r="G2790" s="4"/>
      <c r="H2790" s="4"/>
      <c r="I2790" s="4"/>
      <c r="J2790" s="4"/>
      <c r="K2790" s="4"/>
      <c r="L2790" s="4"/>
      <c r="M2790" s="4"/>
      <c r="N2790" s="4"/>
      <c r="O2790" s="4"/>
      <c r="P2790" s="4"/>
      <c r="Q2790" s="4"/>
      <c r="R2790" s="4"/>
      <c r="S2790" s="4"/>
      <c r="T2790" s="4"/>
      <c r="U2790" s="4"/>
      <c r="V2790" s="4"/>
      <c r="W2790" s="4"/>
      <c r="X2790" s="4"/>
      <c r="Y2790" s="4"/>
      <c r="Z2790" s="4"/>
      <c r="AA2790" s="4"/>
      <c r="AB2790" s="5"/>
    </row>
    <row r="2791" spans="1:28" x14ac:dyDescent="0.35">
      <c r="A2791" s="3"/>
      <c r="B2791" s="4"/>
      <c r="C2791" s="4"/>
      <c r="D2791" s="4"/>
      <c r="E2791" s="4"/>
      <c r="F2791" s="4"/>
      <c r="G2791" s="4"/>
      <c r="H2791" s="4"/>
      <c r="I2791" s="4"/>
      <c r="J2791" s="4"/>
      <c r="K2791" s="4"/>
      <c r="L2791" s="4"/>
      <c r="M2791" s="4"/>
      <c r="N2791" s="4"/>
      <c r="O2791" s="4"/>
      <c r="P2791" s="4"/>
      <c r="Q2791" s="4"/>
      <c r="R2791" s="4"/>
      <c r="S2791" s="4"/>
      <c r="T2791" s="4"/>
      <c r="U2791" s="4"/>
      <c r="V2791" s="4"/>
      <c r="W2791" s="4"/>
      <c r="X2791" s="4"/>
      <c r="Y2791" s="4"/>
      <c r="Z2791" s="4"/>
      <c r="AA2791" s="4"/>
      <c r="AB2791" s="5"/>
    </row>
    <row r="2792" spans="1:28" x14ac:dyDescent="0.35">
      <c r="A2792" s="3"/>
      <c r="B2792" s="4"/>
      <c r="C2792" s="4"/>
      <c r="D2792" s="4"/>
      <c r="E2792" s="4"/>
      <c r="F2792" s="4"/>
      <c r="G2792" s="4"/>
      <c r="H2792" s="4"/>
      <c r="I2792" s="4"/>
      <c r="J2792" s="4"/>
      <c r="K2792" s="4"/>
      <c r="L2792" s="4"/>
      <c r="M2792" s="4"/>
      <c r="N2792" s="4"/>
      <c r="O2792" s="4"/>
      <c r="P2792" s="4"/>
      <c r="Q2792" s="4"/>
      <c r="R2792" s="4"/>
      <c r="S2792" s="4"/>
      <c r="T2792" s="4"/>
      <c r="U2792" s="4"/>
      <c r="V2792" s="4"/>
      <c r="W2792" s="4"/>
      <c r="X2792" s="4"/>
      <c r="Y2792" s="4"/>
      <c r="Z2792" s="4"/>
      <c r="AA2792" s="4"/>
      <c r="AB2792" s="5"/>
    </row>
    <row r="2793" spans="1:28" x14ac:dyDescent="0.35">
      <c r="A2793" s="3"/>
      <c r="B2793" s="4"/>
      <c r="C2793" s="4"/>
      <c r="D2793" s="4"/>
      <c r="E2793" s="4"/>
      <c r="F2793" s="4"/>
      <c r="G2793" s="4"/>
      <c r="H2793" s="4"/>
      <c r="I2793" s="4"/>
      <c r="J2793" s="4"/>
      <c r="K2793" s="4"/>
      <c r="L2793" s="4"/>
      <c r="M2793" s="4"/>
      <c r="N2793" s="4"/>
      <c r="O2793" s="4"/>
      <c r="P2793" s="4"/>
      <c r="Q2793" s="4"/>
      <c r="R2793" s="4"/>
      <c r="S2793" s="4"/>
      <c r="T2793" s="4"/>
      <c r="U2793" s="4"/>
      <c r="V2793" s="4"/>
      <c r="W2793" s="4"/>
      <c r="X2793" s="4"/>
      <c r="Y2793" s="4"/>
      <c r="Z2793" s="4"/>
      <c r="AA2793" s="4"/>
      <c r="AB2793" s="5"/>
    </row>
    <row r="2794" spans="1:28" x14ac:dyDescent="0.35">
      <c r="A2794" s="3"/>
      <c r="B2794" s="4"/>
      <c r="C2794" s="4"/>
      <c r="D2794" s="4"/>
      <c r="E2794" s="4"/>
      <c r="F2794" s="4"/>
      <c r="G2794" s="4"/>
      <c r="H2794" s="4"/>
      <c r="I2794" s="4"/>
      <c r="J2794" s="4"/>
      <c r="K2794" s="4"/>
      <c r="L2794" s="4"/>
      <c r="M2794" s="4"/>
      <c r="N2794" s="4"/>
      <c r="O2794" s="4"/>
      <c r="P2794" s="4"/>
      <c r="Q2794" s="4"/>
      <c r="R2794" s="4"/>
      <c r="S2794" s="4"/>
      <c r="T2794" s="4"/>
      <c r="U2794" s="4"/>
      <c r="V2794" s="4"/>
      <c r="W2794" s="4"/>
      <c r="X2794" s="4"/>
      <c r="Y2794" s="4"/>
      <c r="Z2794" s="4"/>
      <c r="AA2794" s="4"/>
      <c r="AB2794" s="5"/>
    </row>
    <row r="2795" spans="1:28" x14ac:dyDescent="0.35">
      <c r="A2795" s="3"/>
      <c r="B2795" s="4"/>
      <c r="C2795" s="4"/>
      <c r="D2795" s="4"/>
      <c r="E2795" s="4"/>
      <c r="F2795" s="4"/>
      <c r="G2795" s="4"/>
      <c r="H2795" s="4"/>
      <c r="I2795" s="4"/>
      <c r="J2795" s="4"/>
      <c r="K2795" s="4"/>
      <c r="L2795" s="4"/>
      <c r="M2795" s="4"/>
      <c r="N2795" s="4"/>
      <c r="O2795" s="4"/>
      <c r="P2795" s="4"/>
      <c r="Q2795" s="4"/>
      <c r="R2795" s="4"/>
      <c r="S2795" s="4"/>
      <c r="T2795" s="4"/>
      <c r="U2795" s="4"/>
      <c r="V2795" s="4"/>
      <c r="W2795" s="4"/>
      <c r="X2795" s="4"/>
      <c r="Y2795" s="4"/>
      <c r="Z2795" s="4"/>
      <c r="AA2795" s="4"/>
      <c r="AB2795" s="5"/>
    </row>
    <row r="2796" spans="1:28" x14ac:dyDescent="0.35">
      <c r="A2796" s="3"/>
      <c r="B2796" s="4"/>
      <c r="C2796" s="4"/>
      <c r="D2796" s="4"/>
      <c r="E2796" s="4"/>
      <c r="F2796" s="4"/>
      <c r="G2796" s="4"/>
      <c r="H2796" s="4"/>
      <c r="I2796" s="4"/>
      <c r="J2796" s="4"/>
      <c r="K2796" s="4"/>
      <c r="L2796" s="4"/>
      <c r="M2796" s="4"/>
      <c r="N2796" s="4"/>
      <c r="O2796" s="4"/>
      <c r="P2796" s="4"/>
      <c r="Q2796" s="4"/>
      <c r="R2796" s="4"/>
      <c r="S2796" s="4"/>
      <c r="T2796" s="4"/>
      <c r="U2796" s="4"/>
      <c r="V2796" s="4"/>
      <c r="W2796" s="4"/>
      <c r="X2796" s="4"/>
      <c r="Y2796" s="4"/>
      <c r="Z2796" s="4"/>
      <c r="AA2796" s="4"/>
      <c r="AB2796" s="5"/>
    </row>
    <row r="2797" spans="1:28" x14ac:dyDescent="0.35">
      <c r="A2797" s="3"/>
      <c r="B2797" s="4"/>
      <c r="C2797" s="4"/>
      <c r="D2797" s="4"/>
      <c r="E2797" s="4"/>
      <c r="F2797" s="4"/>
      <c r="G2797" s="4"/>
      <c r="H2797" s="4"/>
      <c r="I2797" s="4"/>
      <c r="J2797" s="4"/>
      <c r="K2797" s="4"/>
      <c r="L2797" s="4"/>
      <c r="M2797" s="4"/>
      <c r="N2797" s="4"/>
      <c r="O2797" s="4"/>
      <c r="P2797" s="4"/>
      <c r="Q2797" s="4"/>
      <c r="R2797" s="4"/>
      <c r="S2797" s="4"/>
      <c r="T2797" s="4"/>
      <c r="U2797" s="4"/>
      <c r="V2797" s="4"/>
      <c r="W2797" s="4"/>
      <c r="X2797" s="4"/>
      <c r="Y2797" s="4"/>
      <c r="Z2797" s="4"/>
      <c r="AA2797" s="4"/>
      <c r="AB2797" s="5"/>
    </row>
    <row r="2798" spans="1:28" x14ac:dyDescent="0.35">
      <c r="A2798" s="3"/>
      <c r="B2798" s="4"/>
      <c r="C2798" s="4"/>
      <c r="D2798" s="4"/>
      <c r="E2798" s="4"/>
      <c r="F2798" s="4"/>
      <c r="G2798" s="4"/>
      <c r="H2798" s="4"/>
      <c r="I2798" s="4"/>
      <c r="J2798" s="4"/>
      <c r="K2798" s="4"/>
      <c r="L2798" s="4"/>
      <c r="M2798" s="4"/>
      <c r="N2798" s="4"/>
      <c r="O2798" s="4"/>
      <c r="P2798" s="4"/>
      <c r="Q2798" s="4"/>
      <c r="R2798" s="4"/>
      <c r="S2798" s="4"/>
      <c r="T2798" s="4"/>
      <c r="U2798" s="4"/>
      <c r="V2798" s="4"/>
      <c r="W2798" s="4"/>
      <c r="X2798" s="4"/>
      <c r="Y2798" s="4"/>
      <c r="Z2798" s="4"/>
      <c r="AA2798" s="4"/>
      <c r="AB2798" s="5"/>
    </row>
    <row r="2799" spans="1:28" x14ac:dyDescent="0.35">
      <c r="A2799" s="3"/>
      <c r="B2799" s="4"/>
      <c r="C2799" s="4"/>
      <c r="D2799" s="4"/>
      <c r="E2799" s="4"/>
      <c r="F2799" s="4"/>
      <c r="G2799" s="4"/>
      <c r="H2799" s="4"/>
      <c r="I2799" s="4"/>
      <c r="J2799" s="4"/>
      <c r="K2799" s="4"/>
      <c r="L2799" s="4"/>
      <c r="M2799" s="4"/>
      <c r="N2799" s="4"/>
      <c r="O2799" s="4"/>
      <c r="P2799" s="4"/>
      <c r="Q2799" s="4"/>
      <c r="R2799" s="4"/>
      <c r="S2799" s="4"/>
      <c r="T2799" s="4"/>
      <c r="U2799" s="4"/>
      <c r="V2799" s="4"/>
      <c r="W2799" s="4"/>
      <c r="X2799" s="4"/>
      <c r="Y2799" s="4"/>
      <c r="Z2799" s="4"/>
      <c r="AA2799" s="4"/>
      <c r="AB2799" s="5"/>
    </row>
    <row r="2800" spans="1:28" x14ac:dyDescent="0.35">
      <c r="A2800" s="3"/>
      <c r="B2800" s="4"/>
      <c r="C2800" s="4"/>
      <c r="D2800" s="4"/>
      <c r="E2800" s="4"/>
      <c r="F2800" s="4"/>
      <c r="G2800" s="4"/>
      <c r="H2800" s="4"/>
      <c r="I2800" s="4"/>
      <c r="J2800" s="4"/>
      <c r="K2800" s="4"/>
      <c r="L2800" s="4"/>
      <c r="M2800" s="4"/>
      <c r="N2800" s="4"/>
      <c r="O2800" s="4"/>
      <c r="P2800" s="4"/>
      <c r="Q2800" s="4"/>
      <c r="R2800" s="4"/>
      <c r="S2800" s="4"/>
      <c r="T2800" s="4"/>
      <c r="U2800" s="4"/>
      <c r="V2800" s="4"/>
      <c r="W2800" s="4"/>
      <c r="X2800" s="4"/>
      <c r="Y2800" s="4"/>
      <c r="Z2800" s="4"/>
      <c r="AA2800" s="4"/>
      <c r="AB2800" s="5"/>
    </row>
    <row r="2801" spans="1:28" x14ac:dyDescent="0.35">
      <c r="A2801" s="3"/>
      <c r="B2801" s="4"/>
      <c r="C2801" s="4"/>
      <c r="D2801" s="4"/>
      <c r="E2801" s="4"/>
      <c r="F2801" s="4"/>
      <c r="G2801" s="4"/>
      <c r="H2801" s="4"/>
      <c r="I2801" s="4"/>
      <c r="J2801" s="4"/>
      <c r="K2801" s="4"/>
      <c r="L2801" s="4"/>
      <c r="M2801" s="4"/>
      <c r="N2801" s="4"/>
      <c r="O2801" s="4"/>
      <c r="P2801" s="4"/>
      <c r="Q2801" s="4"/>
      <c r="R2801" s="4"/>
      <c r="S2801" s="4"/>
      <c r="T2801" s="4"/>
      <c r="U2801" s="4"/>
      <c r="V2801" s="4"/>
      <c r="W2801" s="4"/>
      <c r="X2801" s="4"/>
      <c r="Y2801" s="4"/>
      <c r="Z2801" s="4"/>
      <c r="AA2801" s="4"/>
      <c r="AB2801" s="5"/>
    </row>
    <row r="2802" spans="1:28" x14ac:dyDescent="0.35">
      <c r="A2802" s="3"/>
      <c r="B2802" s="4"/>
      <c r="C2802" s="4"/>
      <c r="D2802" s="4"/>
      <c r="E2802" s="4"/>
      <c r="F2802" s="4"/>
      <c r="G2802" s="4"/>
      <c r="H2802" s="4"/>
      <c r="I2802" s="4"/>
      <c r="J2802" s="4"/>
      <c r="K2802" s="4"/>
      <c r="L2802" s="4"/>
      <c r="M2802" s="4"/>
      <c r="N2802" s="4"/>
      <c r="O2802" s="4"/>
      <c r="P2802" s="4"/>
      <c r="Q2802" s="4"/>
      <c r="R2802" s="4"/>
      <c r="S2802" s="4"/>
      <c r="T2802" s="4"/>
      <c r="U2802" s="4"/>
      <c r="V2802" s="4"/>
      <c r="W2802" s="4"/>
      <c r="X2802" s="4"/>
      <c r="Y2802" s="4"/>
      <c r="Z2802" s="4"/>
      <c r="AA2802" s="4"/>
      <c r="AB2802" s="5"/>
    </row>
    <row r="2803" spans="1:28" x14ac:dyDescent="0.35">
      <c r="A2803" s="3"/>
      <c r="B2803" s="4"/>
      <c r="C2803" s="4"/>
      <c r="D2803" s="4"/>
      <c r="E2803" s="4"/>
      <c r="F2803" s="4"/>
      <c r="G2803" s="4"/>
      <c r="H2803" s="4"/>
      <c r="I2803" s="4"/>
      <c r="J2803" s="4"/>
      <c r="K2803" s="4"/>
      <c r="L2803" s="4"/>
      <c r="M2803" s="4"/>
      <c r="N2803" s="4"/>
      <c r="O2803" s="4"/>
      <c r="P2803" s="4"/>
      <c r="Q2803" s="4"/>
      <c r="R2803" s="4"/>
      <c r="S2803" s="4"/>
      <c r="T2803" s="4"/>
      <c r="U2803" s="4"/>
      <c r="V2803" s="4"/>
      <c r="W2803" s="4"/>
      <c r="X2803" s="4"/>
      <c r="Y2803" s="4"/>
      <c r="Z2803" s="4"/>
      <c r="AA2803" s="4"/>
      <c r="AB2803" s="5"/>
    </row>
    <row r="2804" spans="1:28" x14ac:dyDescent="0.35">
      <c r="A2804" s="3"/>
      <c r="B2804" s="4"/>
      <c r="C2804" s="4"/>
      <c r="D2804" s="4"/>
      <c r="E2804" s="4"/>
      <c r="F2804" s="4"/>
      <c r="G2804" s="4"/>
      <c r="H2804" s="4"/>
      <c r="I2804" s="4"/>
      <c r="J2804" s="4"/>
      <c r="K2804" s="4"/>
      <c r="L2804" s="4"/>
      <c r="M2804" s="4"/>
      <c r="N2804" s="4"/>
      <c r="O2804" s="4"/>
      <c r="P2804" s="4"/>
      <c r="Q2804" s="4"/>
      <c r="R2804" s="4"/>
      <c r="S2804" s="4"/>
      <c r="T2804" s="4"/>
      <c r="U2804" s="4"/>
      <c r="V2804" s="4"/>
      <c r="W2804" s="4"/>
      <c r="X2804" s="4"/>
      <c r="Y2804" s="4"/>
      <c r="Z2804" s="4"/>
      <c r="AA2804" s="4"/>
      <c r="AB2804" s="5"/>
    </row>
    <row r="2805" spans="1:28" x14ac:dyDescent="0.35">
      <c r="A2805" s="3"/>
      <c r="B2805" s="4"/>
      <c r="C2805" s="4"/>
      <c r="D2805" s="4"/>
      <c r="E2805" s="4"/>
      <c r="F2805" s="4"/>
      <c r="G2805" s="4"/>
      <c r="H2805" s="4"/>
      <c r="I2805" s="4"/>
      <c r="J2805" s="4"/>
      <c r="K2805" s="4"/>
      <c r="L2805" s="4"/>
      <c r="M2805" s="4"/>
      <c r="N2805" s="4"/>
      <c r="O2805" s="4"/>
      <c r="P2805" s="4"/>
      <c r="Q2805" s="4"/>
      <c r="R2805" s="4"/>
      <c r="S2805" s="4"/>
      <c r="T2805" s="4"/>
      <c r="U2805" s="4"/>
      <c r="V2805" s="4"/>
      <c r="W2805" s="4"/>
      <c r="X2805" s="4"/>
      <c r="Y2805" s="4"/>
      <c r="Z2805" s="4"/>
      <c r="AA2805" s="4"/>
      <c r="AB2805" s="5"/>
    </row>
    <row r="2806" spans="1:28" x14ac:dyDescent="0.35">
      <c r="A2806" s="3"/>
      <c r="B2806" s="4"/>
      <c r="C2806" s="4"/>
      <c r="D2806" s="4"/>
      <c r="E2806" s="4"/>
      <c r="F2806" s="4"/>
      <c r="G2806" s="4"/>
      <c r="H2806" s="4"/>
      <c r="I2806" s="4"/>
      <c r="J2806" s="4"/>
      <c r="K2806" s="4"/>
      <c r="L2806" s="4"/>
      <c r="M2806" s="4"/>
      <c r="N2806" s="4"/>
      <c r="O2806" s="4"/>
      <c r="P2806" s="4"/>
      <c r="Q2806" s="4"/>
      <c r="R2806" s="4"/>
      <c r="S2806" s="4"/>
      <c r="T2806" s="4"/>
      <c r="U2806" s="4"/>
      <c r="V2806" s="4"/>
      <c r="W2806" s="4"/>
      <c r="X2806" s="4"/>
      <c r="Y2806" s="4"/>
      <c r="Z2806" s="4"/>
      <c r="AA2806" s="4"/>
      <c r="AB2806" s="5"/>
    </row>
    <row r="2807" spans="1:28" x14ac:dyDescent="0.35">
      <c r="A2807" s="3"/>
      <c r="B2807" s="4"/>
      <c r="C2807" s="4"/>
      <c r="D2807" s="4"/>
      <c r="E2807" s="4"/>
      <c r="F2807" s="4"/>
      <c r="G2807" s="4"/>
      <c r="H2807" s="4"/>
      <c r="I2807" s="4"/>
      <c r="J2807" s="4"/>
      <c r="K2807" s="4"/>
      <c r="L2807" s="4"/>
      <c r="M2807" s="4"/>
      <c r="N2807" s="4"/>
      <c r="O2807" s="4"/>
      <c r="P2807" s="4"/>
      <c r="Q2807" s="4"/>
      <c r="R2807" s="4"/>
      <c r="S2807" s="4"/>
      <c r="T2807" s="4"/>
      <c r="U2807" s="4"/>
      <c r="V2807" s="4"/>
      <c r="W2807" s="4"/>
      <c r="X2807" s="4"/>
      <c r="Y2807" s="4"/>
      <c r="Z2807" s="4"/>
      <c r="AA2807" s="4"/>
      <c r="AB2807" s="5"/>
    </row>
    <row r="2808" spans="1:28" x14ac:dyDescent="0.35">
      <c r="A2808" s="3"/>
      <c r="B2808" s="4"/>
      <c r="C2808" s="4"/>
      <c r="D2808" s="4"/>
      <c r="E2808" s="4"/>
      <c r="F2808" s="4"/>
      <c r="G2808" s="4"/>
      <c r="H2808" s="4"/>
      <c r="I2808" s="4"/>
      <c r="J2808" s="4"/>
      <c r="K2808" s="4"/>
      <c r="L2808" s="4"/>
      <c r="M2808" s="4"/>
      <c r="N2808" s="4"/>
      <c r="O2808" s="4"/>
      <c r="P2808" s="4"/>
      <c r="Q2808" s="4"/>
      <c r="R2808" s="4"/>
      <c r="S2808" s="4"/>
      <c r="T2808" s="4"/>
      <c r="U2808" s="4"/>
      <c r="V2808" s="4"/>
      <c r="W2808" s="4"/>
      <c r="X2808" s="4"/>
      <c r="Y2808" s="4"/>
      <c r="Z2808" s="4"/>
      <c r="AA2808" s="4"/>
      <c r="AB2808" s="5"/>
    </row>
    <row r="2809" spans="1:28" x14ac:dyDescent="0.35">
      <c r="A2809" s="3"/>
      <c r="B2809" s="4"/>
      <c r="C2809" s="4"/>
      <c r="D2809" s="4"/>
      <c r="E2809" s="4"/>
      <c r="F2809" s="4"/>
      <c r="G2809" s="4"/>
      <c r="H2809" s="4"/>
      <c r="I2809" s="4"/>
      <c r="J2809" s="4"/>
      <c r="K2809" s="4"/>
      <c r="L2809" s="4"/>
      <c r="M2809" s="4"/>
      <c r="N2809" s="4"/>
      <c r="O2809" s="4"/>
      <c r="P2809" s="4"/>
      <c r="Q2809" s="4"/>
      <c r="R2809" s="4"/>
      <c r="S2809" s="4"/>
      <c r="T2809" s="4"/>
      <c r="U2809" s="4"/>
      <c r="V2809" s="4"/>
      <c r="W2809" s="4"/>
      <c r="X2809" s="4"/>
      <c r="Y2809" s="4"/>
      <c r="Z2809" s="4"/>
      <c r="AA2809" s="4"/>
      <c r="AB2809" s="5"/>
    </row>
    <row r="2810" spans="1:28" x14ac:dyDescent="0.35">
      <c r="A2810" s="3"/>
      <c r="B2810" s="4"/>
      <c r="C2810" s="4"/>
      <c r="D2810" s="4"/>
      <c r="E2810" s="4"/>
      <c r="F2810" s="4"/>
      <c r="G2810" s="4"/>
      <c r="H2810" s="4"/>
      <c r="I2810" s="4"/>
      <c r="J2810" s="4"/>
      <c r="K2810" s="4"/>
      <c r="L2810" s="4"/>
      <c r="M2810" s="4"/>
      <c r="N2810" s="4"/>
      <c r="O2810" s="4"/>
      <c r="P2810" s="4"/>
      <c r="Q2810" s="4"/>
      <c r="R2810" s="4"/>
      <c r="S2810" s="4"/>
      <c r="T2810" s="4"/>
      <c r="U2810" s="4"/>
      <c r="V2810" s="4"/>
      <c r="W2810" s="4"/>
      <c r="X2810" s="4"/>
      <c r="Y2810" s="4"/>
      <c r="Z2810" s="4"/>
      <c r="AA2810" s="4"/>
      <c r="AB2810" s="5"/>
    </row>
    <row r="2811" spans="1:28" x14ac:dyDescent="0.35">
      <c r="A2811" s="3"/>
      <c r="B2811" s="4"/>
      <c r="C2811" s="4"/>
      <c r="D2811" s="4"/>
      <c r="E2811" s="4"/>
      <c r="F2811" s="4"/>
      <c r="G2811" s="4"/>
      <c r="H2811" s="4"/>
      <c r="I2811" s="4"/>
      <c r="J2811" s="4"/>
      <c r="K2811" s="4"/>
      <c r="L2811" s="4"/>
      <c r="M2811" s="4"/>
      <c r="N2811" s="4"/>
      <c r="O2811" s="4"/>
      <c r="P2811" s="4"/>
      <c r="Q2811" s="4"/>
      <c r="R2811" s="4"/>
      <c r="S2811" s="4"/>
      <c r="T2811" s="4"/>
      <c r="U2811" s="4"/>
      <c r="V2811" s="4"/>
      <c r="W2811" s="4"/>
      <c r="X2811" s="4"/>
      <c r="Y2811" s="4"/>
      <c r="Z2811" s="4"/>
      <c r="AA2811" s="4"/>
      <c r="AB2811" s="5"/>
    </row>
    <row r="2812" spans="1:28" x14ac:dyDescent="0.35">
      <c r="A2812" s="3"/>
      <c r="B2812" s="4"/>
      <c r="C2812" s="4"/>
      <c r="D2812" s="4"/>
      <c r="E2812" s="4"/>
      <c r="F2812" s="4"/>
      <c r="G2812" s="4"/>
      <c r="H2812" s="4"/>
      <c r="I2812" s="4"/>
      <c r="J2812" s="4"/>
      <c r="K2812" s="4"/>
      <c r="L2812" s="4"/>
      <c r="M2812" s="4"/>
      <c r="N2812" s="4"/>
      <c r="O2812" s="4"/>
      <c r="P2812" s="4"/>
      <c r="Q2812" s="4"/>
      <c r="R2812" s="4"/>
      <c r="S2812" s="4"/>
      <c r="T2812" s="4"/>
      <c r="U2812" s="4"/>
      <c r="V2812" s="4"/>
      <c r="W2812" s="4"/>
      <c r="X2812" s="4"/>
      <c r="Y2812" s="4"/>
      <c r="Z2812" s="4"/>
      <c r="AA2812" s="4"/>
      <c r="AB2812" s="5"/>
    </row>
    <row r="2813" spans="1:28" x14ac:dyDescent="0.35">
      <c r="A2813" s="3"/>
      <c r="B2813" s="4"/>
      <c r="C2813" s="4"/>
      <c r="D2813" s="4"/>
      <c r="E2813" s="4"/>
      <c r="F2813" s="4"/>
      <c r="G2813" s="4"/>
      <c r="H2813" s="4"/>
      <c r="I2813" s="4"/>
      <c r="J2813" s="4"/>
      <c r="K2813" s="4"/>
      <c r="L2813" s="4"/>
      <c r="M2813" s="4"/>
      <c r="N2813" s="4"/>
      <c r="O2813" s="4"/>
      <c r="P2813" s="4"/>
      <c r="Q2813" s="4"/>
      <c r="R2813" s="4"/>
      <c r="S2813" s="4"/>
      <c r="T2813" s="4"/>
      <c r="U2813" s="4"/>
      <c r="V2813" s="4"/>
      <c r="W2813" s="4"/>
      <c r="X2813" s="4"/>
      <c r="Y2813" s="4"/>
      <c r="Z2813" s="4"/>
      <c r="AA2813" s="4"/>
      <c r="AB2813" s="5"/>
    </row>
    <row r="2814" spans="1:28" x14ac:dyDescent="0.35">
      <c r="A2814" s="3"/>
      <c r="B2814" s="4"/>
      <c r="C2814" s="4"/>
      <c r="D2814" s="4"/>
      <c r="E2814" s="4"/>
      <c r="F2814" s="4"/>
      <c r="G2814" s="4"/>
      <c r="H2814" s="4"/>
      <c r="I2814" s="4"/>
      <c r="J2814" s="4"/>
      <c r="K2814" s="4"/>
      <c r="L2814" s="4"/>
      <c r="M2814" s="4"/>
      <c r="N2814" s="4"/>
      <c r="O2814" s="4"/>
      <c r="P2814" s="4"/>
      <c r="Q2814" s="4"/>
      <c r="R2814" s="4"/>
      <c r="S2814" s="4"/>
      <c r="T2814" s="4"/>
      <c r="U2814" s="4"/>
      <c r="V2814" s="4"/>
      <c r="W2814" s="4"/>
      <c r="X2814" s="4"/>
      <c r="Y2814" s="4"/>
      <c r="Z2814" s="4"/>
      <c r="AA2814" s="4"/>
      <c r="AB2814" s="5"/>
    </row>
    <row r="2815" spans="1:28" x14ac:dyDescent="0.35">
      <c r="A2815" s="3"/>
      <c r="B2815" s="4"/>
      <c r="C2815" s="4"/>
      <c r="D2815" s="4"/>
      <c r="E2815" s="4"/>
      <c r="F2815" s="4"/>
      <c r="G2815" s="4"/>
      <c r="H2815" s="4"/>
      <c r="I2815" s="4"/>
      <c r="J2815" s="4"/>
      <c r="K2815" s="4"/>
      <c r="L2815" s="4"/>
      <c r="M2815" s="4"/>
      <c r="N2815" s="4"/>
      <c r="O2815" s="4"/>
      <c r="P2815" s="4"/>
      <c r="Q2815" s="4"/>
      <c r="R2815" s="4"/>
      <c r="S2815" s="4"/>
      <c r="T2815" s="4"/>
      <c r="U2815" s="4"/>
      <c r="V2815" s="4"/>
      <c r="W2815" s="4"/>
      <c r="X2815" s="4"/>
      <c r="Y2815" s="4"/>
      <c r="Z2815" s="4"/>
      <c r="AA2815" s="4"/>
      <c r="AB2815" s="5"/>
    </row>
    <row r="2816" spans="1:28" x14ac:dyDescent="0.35">
      <c r="A2816" s="3"/>
      <c r="B2816" s="4"/>
      <c r="C2816" s="4"/>
      <c r="D2816" s="4"/>
      <c r="E2816" s="4"/>
      <c r="F2816" s="4"/>
      <c r="G2816" s="4"/>
      <c r="H2816" s="4"/>
      <c r="I2816" s="4"/>
      <c r="J2816" s="4"/>
      <c r="K2816" s="4"/>
      <c r="L2816" s="4"/>
      <c r="M2816" s="4"/>
      <c r="N2816" s="4"/>
      <c r="O2816" s="4"/>
      <c r="P2816" s="4"/>
      <c r="Q2816" s="4"/>
      <c r="R2816" s="4"/>
      <c r="S2816" s="4"/>
      <c r="T2816" s="4"/>
      <c r="U2816" s="4"/>
      <c r="V2816" s="4"/>
      <c r="W2816" s="4"/>
      <c r="X2816" s="4"/>
      <c r="Y2816" s="4"/>
      <c r="Z2816" s="4"/>
      <c r="AA2816" s="4"/>
      <c r="AB2816" s="5"/>
    </row>
    <row r="2817" spans="1:28" x14ac:dyDescent="0.35">
      <c r="A2817" s="3"/>
      <c r="B2817" s="4"/>
      <c r="C2817" s="4"/>
      <c r="D2817" s="4"/>
      <c r="E2817" s="4"/>
      <c r="F2817" s="4"/>
      <c r="G2817" s="4"/>
      <c r="H2817" s="4"/>
      <c r="I2817" s="4"/>
      <c r="J2817" s="4"/>
      <c r="K2817" s="4"/>
      <c r="L2817" s="4"/>
      <c r="M2817" s="4"/>
      <c r="N2817" s="4"/>
      <c r="O2817" s="4"/>
      <c r="P2817" s="4"/>
      <c r="Q2817" s="4"/>
      <c r="R2817" s="4"/>
      <c r="S2817" s="4"/>
      <c r="T2817" s="4"/>
      <c r="U2817" s="4"/>
      <c r="V2817" s="4"/>
      <c r="W2817" s="4"/>
      <c r="X2817" s="4"/>
      <c r="Y2817" s="4"/>
      <c r="Z2817" s="4"/>
      <c r="AA2817" s="4"/>
      <c r="AB2817" s="5"/>
    </row>
    <row r="2818" spans="1:28" x14ac:dyDescent="0.35">
      <c r="A2818" s="3"/>
      <c r="B2818" s="4"/>
      <c r="C2818" s="4"/>
      <c r="D2818" s="4"/>
      <c r="E2818" s="4"/>
      <c r="F2818" s="4"/>
      <c r="G2818" s="4"/>
      <c r="H2818" s="4"/>
      <c r="I2818" s="4"/>
      <c r="J2818" s="4"/>
      <c r="K2818" s="4"/>
      <c r="L2818" s="4"/>
      <c r="M2818" s="4"/>
      <c r="N2818" s="4"/>
      <c r="O2818" s="4"/>
      <c r="P2818" s="4"/>
      <c r="Q2818" s="4"/>
      <c r="R2818" s="4"/>
      <c r="S2818" s="4"/>
      <c r="T2818" s="4"/>
      <c r="U2818" s="4"/>
      <c r="V2818" s="4"/>
      <c r="W2818" s="4"/>
      <c r="X2818" s="4"/>
      <c r="Y2818" s="4"/>
      <c r="Z2818" s="4"/>
      <c r="AA2818" s="4"/>
      <c r="AB2818" s="5"/>
    </row>
    <row r="2819" spans="1:28" x14ac:dyDescent="0.35">
      <c r="A2819" s="3"/>
      <c r="B2819" s="4"/>
      <c r="C2819" s="4"/>
      <c r="D2819" s="4"/>
      <c r="E2819" s="4"/>
      <c r="F2819" s="4"/>
      <c r="G2819" s="4"/>
      <c r="H2819" s="4"/>
      <c r="I2819" s="4"/>
      <c r="J2819" s="4"/>
      <c r="K2819" s="4"/>
      <c r="L2819" s="4"/>
      <c r="M2819" s="4"/>
      <c r="N2819" s="4"/>
      <c r="O2819" s="4"/>
      <c r="P2819" s="4"/>
      <c r="Q2819" s="4"/>
      <c r="R2819" s="4"/>
      <c r="S2819" s="4"/>
      <c r="T2819" s="4"/>
      <c r="U2819" s="4"/>
      <c r="V2819" s="4"/>
      <c r="W2819" s="4"/>
      <c r="X2819" s="4"/>
      <c r="Y2819" s="4"/>
      <c r="Z2819" s="4"/>
      <c r="AA2819" s="4"/>
      <c r="AB2819" s="5"/>
    </row>
    <row r="2820" spans="1:28" x14ac:dyDescent="0.35">
      <c r="A2820" s="3"/>
      <c r="B2820" s="4"/>
      <c r="C2820" s="4"/>
      <c r="D2820" s="4"/>
      <c r="E2820" s="4"/>
      <c r="F2820" s="4"/>
      <c r="G2820" s="4"/>
      <c r="H2820" s="4"/>
      <c r="I2820" s="4"/>
      <c r="J2820" s="4"/>
      <c r="K2820" s="4"/>
      <c r="L2820" s="4"/>
      <c r="M2820" s="4"/>
      <c r="N2820" s="4"/>
      <c r="O2820" s="4"/>
      <c r="P2820" s="4"/>
      <c r="Q2820" s="4"/>
      <c r="R2820" s="4"/>
      <c r="S2820" s="4"/>
      <c r="T2820" s="4"/>
      <c r="U2820" s="4"/>
      <c r="V2820" s="4"/>
      <c r="W2820" s="4"/>
      <c r="X2820" s="4"/>
      <c r="Y2820" s="4"/>
      <c r="Z2820" s="4"/>
      <c r="AA2820" s="4"/>
      <c r="AB2820" s="5"/>
    </row>
    <row r="2821" spans="1:28" x14ac:dyDescent="0.35">
      <c r="A2821" s="3"/>
      <c r="B2821" s="4"/>
      <c r="C2821" s="4"/>
      <c r="D2821" s="4"/>
      <c r="E2821" s="4"/>
      <c r="F2821" s="4"/>
      <c r="G2821" s="4"/>
      <c r="H2821" s="4"/>
      <c r="I2821" s="4"/>
      <c r="J2821" s="4"/>
      <c r="K2821" s="4"/>
      <c r="L2821" s="4"/>
      <c r="M2821" s="4"/>
      <c r="N2821" s="4"/>
      <c r="O2821" s="4"/>
      <c r="P2821" s="4"/>
      <c r="Q2821" s="4"/>
      <c r="R2821" s="4"/>
      <c r="S2821" s="4"/>
      <c r="T2821" s="4"/>
      <c r="U2821" s="4"/>
      <c r="V2821" s="4"/>
      <c r="W2821" s="4"/>
      <c r="X2821" s="4"/>
      <c r="Y2821" s="4"/>
      <c r="Z2821" s="4"/>
      <c r="AA2821" s="4"/>
      <c r="AB2821" s="5"/>
    </row>
    <row r="2822" spans="1:28" x14ac:dyDescent="0.35">
      <c r="A2822" s="3"/>
      <c r="B2822" s="4"/>
      <c r="C2822" s="4"/>
      <c r="D2822" s="4"/>
      <c r="E2822" s="4"/>
      <c r="F2822" s="4"/>
      <c r="G2822" s="4"/>
      <c r="H2822" s="4"/>
      <c r="I2822" s="4"/>
      <c r="J2822" s="4"/>
      <c r="K2822" s="4"/>
      <c r="L2822" s="4"/>
      <c r="M2822" s="4"/>
      <c r="N2822" s="4"/>
      <c r="O2822" s="4"/>
      <c r="P2822" s="4"/>
      <c r="Q2822" s="4"/>
      <c r="R2822" s="4"/>
      <c r="S2822" s="4"/>
      <c r="T2822" s="4"/>
      <c r="U2822" s="4"/>
      <c r="V2822" s="4"/>
      <c r="W2822" s="4"/>
      <c r="X2822" s="4"/>
      <c r="Y2822" s="4"/>
      <c r="Z2822" s="4"/>
      <c r="AA2822" s="4"/>
      <c r="AB2822" s="5"/>
    </row>
    <row r="2823" spans="1:28" x14ac:dyDescent="0.35">
      <c r="A2823" s="3"/>
      <c r="B2823" s="4"/>
      <c r="C2823" s="4"/>
      <c r="D2823" s="4"/>
      <c r="E2823" s="4"/>
      <c r="F2823" s="4"/>
      <c r="G2823" s="4"/>
      <c r="H2823" s="4"/>
      <c r="I2823" s="4"/>
      <c r="J2823" s="4"/>
      <c r="K2823" s="4"/>
      <c r="L2823" s="4"/>
      <c r="M2823" s="4"/>
      <c r="N2823" s="4"/>
      <c r="O2823" s="4"/>
      <c r="P2823" s="4"/>
      <c r="Q2823" s="4"/>
      <c r="R2823" s="4"/>
      <c r="S2823" s="4"/>
      <c r="T2823" s="4"/>
      <c r="U2823" s="4"/>
      <c r="V2823" s="4"/>
      <c r="W2823" s="4"/>
      <c r="X2823" s="4"/>
      <c r="Y2823" s="4"/>
      <c r="Z2823" s="4"/>
      <c r="AA2823" s="4"/>
      <c r="AB2823" s="5"/>
    </row>
    <row r="2824" spans="1:28" x14ac:dyDescent="0.35">
      <c r="A2824" s="3"/>
      <c r="B2824" s="4"/>
      <c r="C2824" s="4"/>
      <c r="D2824" s="4"/>
      <c r="E2824" s="4"/>
      <c r="F2824" s="4"/>
      <c r="G2824" s="4"/>
      <c r="H2824" s="4"/>
      <c r="I2824" s="4"/>
      <c r="J2824" s="4"/>
      <c r="K2824" s="4"/>
      <c r="L2824" s="4"/>
      <c r="M2824" s="4"/>
      <c r="N2824" s="4"/>
      <c r="O2824" s="4"/>
      <c r="P2824" s="4"/>
      <c r="Q2824" s="4"/>
      <c r="R2824" s="4"/>
      <c r="S2824" s="4"/>
      <c r="T2824" s="4"/>
      <c r="U2824" s="4"/>
      <c r="V2824" s="4"/>
      <c r="W2824" s="4"/>
      <c r="X2824" s="4"/>
      <c r="Y2824" s="4"/>
      <c r="Z2824" s="4"/>
      <c r="AA2824" s="4"/>
      <c r="AB2824" s="5"/>
    </row>
    <row r="2825" spans="1:28" x14ac:dyDescent="0.35">
      <c r="A2825" s="3"/>
      <c r="B2825" s="4"/>
      <c r="C2825" s="4"/>
      <c r="D2825" s="4"/>
      <c r="E2825" s="4"/>
      <c r="F2825" s="4"/>
      <c r="G2825" s="4"/>
      <c r="H2825" s="4"/>
      <c r="I2825" s="4"/>
      <c r="J2825" s="4"/>
      <c r="K2825" s="4"/>
      <c r="L2825" s="4"/>
      <c r="M2825" s="4"/>
      <c r="N2825" s="4"/>
      <c r="O2825" s="4"/>
      <c r="P2825" s="4"/>
      <c r="Q2825" s="4"/>
      <c r="R2825" s="4"/>
      <c r="S2825" s="4"/>
      <c r="T2825" s="4"/>
      <c r="U2825" s="4"/>
      <c r="V2825" s="4"/>
      <c r="W2825" s="4"/>
      <c r="X2825" s="4"/>
      <c r="Y2825" s="4"/>
      <c r="Z2825" s="4"/>
      <c r="AA2825" s="4"/>
      <c r="AB2825" s="5"/>
    </row>
    <row r="2826" spans="1:28" x14ac:dyDescent="0.35">
      <c r="A2826" s="3"/>
      <c r="B2826" s="4"/>
      <c r="C2826" s="4"/>
      <c r="D2826" s="4"/>
      <c r="E2826" s="4"/>
      <c r="F2826" s="4"/>
      <c r="G2826" s="4"/>
      <c r="H2826" s="4"/>
      <c r="I2826" s="4"/>
      <c r="J2826" s="4"/>
      <c r="K2826" s="4"/>
      <c r="L2826" s="4"/>
      <c r="M2826" s="4"/>
      <c r="N2826" s="4"/>
      <c r="O2826" s="4"/>
      <c r="P2826" s="4"/>
      <c r="Q2826" s="4"/>
      <c r="R2826" s="4"/>
      <c r="S2826" s="4"/>
      <c r="T2826" s="4"/>
      <c r="U2826" s="4"/>
      <c r="V2826" s="4"/>
      <c r="W2826" s="4"/>
      <c r="X2826" s="4"/>
      <c r="Y2826" s="4"/>
      <c r="Z2826" s="4"/>
      <c r="AA2826" s="4"/>
      <c r="AB2826" s="5"/>
    </row>
    <row r="2827" spans="1:28" x14ac:dyDescent="0.35">
      <c r="A2827" s="3"/>
      <c r="B2827" s="4"/>
      <c r="C2827" s="4"/>
      <c r="D2827" s="4"/>
      <c r="E2827" s="4"/>
      <c r="F2827" s="4"/>
      <c r="G2827" s="4"/>
      <c r="H2827" s="4"/>
      <c r="I2827" s="4"/>
      <c r="J2827" s="4"/>
      <c r="K2827" s="4"/>
      <c r="L2827" s="4"/>
      <c r="M2827" s="4"/>
      <c r="N2827" s="4"/>
      <c r="O2827" s="4"/>
      <c r="P2827" s="4"/>
      <c r="Q2827" s="4"/>
      <c r="R2827" s="4"/>
      <c r="S2827" s="4"/>
      <c r="T2827" s="4"/>
      <c r="U2827" s="4"/>
      <c r="V2827" s="4"/>
      <c r="W2827" s="4"/>
      <c r="X2827" s="4"/>
      <c r="Y2827" s="4"/>
      <c r="Z2827" s="4"/>
      <c r="AA2827" s="4"/>
      <c r="AB2827" s="5"/>
    </row>
    <row r="2828" spans="1:28" x14ac:dyDescent="0.35">
      <c r="A2828" s="3"/>
      <c r="B2828" s="4"/>
      <c r="C2828" s="4"/>
      <c r="D2828" s="4"/>
      <c r="E2828" s="4"/>
      <c r="F2828" s="4"/>
      <c r="G2828" s="4"/>
      <c r="H2828" s="4"/>
      <c r="I2828" s="4"/>
      <c r="J2828" s="4"/>
      <c r="K2828" s="4"/>
      <c r="L2828" s="4"/>
      <c r="M2828" s="4"/>
      <c r="N2828" s="4"/>
      <c r="O2828" s="4"/>
      <c r="P2828" s="4"/>
      <c r="Q2828" s="4"/>
      <c r="R2828" s="4"/>
      <c r="S2828" s="4"/>
      <c r="T2828" s="4"/>
      <c r="U2828" s="4"/>
      <c r="V2828" s="4"/>
      <c r="W2828" s="4"/>
      <c r="X2828" s="4"/>
      <c r="Y2828" s="4"/>
      <c r="Z2828" s="4"/>
      <c r="AA2828" s="4"/>
      <c r="AB2828" s="5"/>
    </row>
    <row r="2829" spans="1:28" x14ac:dyDescent="0.35">
      <c r="A2829" s="3"/>
      <c r="B2829" s="4"/>
      <c r="C2829" s="4"/>
      <c r="D2829" s="4"/>
      <c r="E2829" s="4"/>
      <c r="F2829" s="4"/>
      <c r="G2829" s="4"/>
      <c r="H2829" s="4"/>
      <c r="I2829" s="4"/>
      <c r="J2829" s="4"/>
      <c r="K2829" s="4"/>
      <c r="L2829" s="4"/>
      <c r="M2829" s="4"/>
      <c r="N2829" s="4"/>
      <c r="O2829" s="4"/>
      <c r="P2829" s="4"/>
      <c r="Q2829" s="4"/>
      <c r="R2829" s="4"/>
      <c r="S2829" s="4"/>
      <c r="T2829" s="4"/>
      <c r="U2829" s="4"/>
      <c r="V2829" s="4"/>
      <c r="W2829" s="4"/>
      <c r="X2829" s="4"/>
      <c r="Y2829" s="4"/>
      <c r="Z2829" s="4"/>
      <c r="AA2829" s="4"/>
      <c r="AB2829" s="5"/>
    </row>
    <row r="2830" spans="1:28" x14ac:dyDescent="0.35">
      <c r="A2830" s="3"/>
      <c r="B2830" s="4"/>
      <c r="C2830" s="4"/>
      <c r="D2830" s="4"/>
      <c r="E2830" s="4"/>
      <c r="F2830" s="4"/>
      <c r="G2830" s="4"/>
      <c r="H2830" s="4"/>
      <c r="I2830" s="4"/>
      <c r="J2830" s="4"/>
      <c r="K2830" s="4"/>
      <c r="L2830" s="4"/>
      <c r="M2830" s="4"/>
      <c r="N2830" s="4"/>
      <c r="O2830" s="4"/>
      <c r="P2830" s="4"/>
      <c r="Q2830" s="4"/>
      <c r="R2830" s="4"/>
      <c r="S2830" s="4"/>
      <c r="T2830" s="4"/>
      <c r="U2830" s="4"/>
      <c r="V2830" s="4"/>
      <c r="W2830" s="4"/>
      <c r="X2830" s="4"/>
      <c r="Y2830" s="4"/>
      <c r="Z2830" s="4"/>
      <c r="AA2830" s="4"/>
      <c r="AB2830" s="5"/>
    </row>
    <row r="2831" spans="1:28" x14ac:dyDescent="0.35">
      <c r="A2831" s="3"/>
      <c r="B2831" s="4"/>
      <c r="C2831" s="4"/>
      <c r="D2831" s="4"/>
      <c r="E2831" s="4"/>
      <c r="F2831" s="4"/>
      <c r="G2831" s="4"/>
      <c r="H2831" s="4"/>
      <c r="I2831" s="4"/>
      <c r="J2831" s="4"/>
      <c r="K2831" s="4"/>
      <c r="L2831" s="4"/>
      <c r="M2831" s="4"/>
      <c r="N2831" s="4"/>
      <c r="O2831" s="4"/>
      <c r="P2831" s="4"/>
      <c r="Q2831" s="4"/>
      <c r="R2831" s="4"/>
      <c r="S2831" s="4"/>
      <c r="T2831" s="4"/>
      <c r="U2831" s="4"/>
      <c r="V2831" s="4"/>
      <c r="W2831" s="4"/>
      <c r="X2831" s="4"/>
      <c r="Y2831" s="4"/>
      <c r="Z2831" s="4"/>
      <c r="AA2831" s="4"/>
      <c r="AB2831" s="5"/>
    </row>
    <row r="2832" spans="1:28" x14ac:dyDescent="0.35">
      <c r="A2832" s="3"/>
      <c r="B2832" s="4"/>
      <c r="C2832" s="4"/>
      <c r="D2832" s="4"/>
      <c r="E2832" s="4"/>
      <c r="F2832" s="4"/>
      <c r="G2832" s="4"/>
      <c r="H2832" s="4"/>
      <c r="I2832" s="4"/>
      <c r="J2832" s="4"/>
      <c r="K2832" s="4"/>
      <c r="L2832" s="4"/>
      <c r="M2832" s="4"/>
      <c r="N2832" s="4"/>
      <c r="O2832" s="4"/>
      <c r="P2832" s="4"/>
      <c r="Q2832" s="4"/>
      <c r="R2832" s="4"/>
      <c r="S2832" s="4"/>
      <c r="T2832" s="4"/>
      <c r="U2832" s="4"/>
      <c r="V2832" s="4"/>
      <c r="W2832" s="4"/>
      <c r="X2832" s="4"/>
      <c r="Y2832" s="4"/>
      <c r="Z2832" s="4"/>
      <c r="AA2832" s="4"/>
      <c r="AB2832" s="5"/>
    </row>
    <row r="2833" spans="1:28" x14ac:dyDescent="0.35">
      <c r="A2833" s="3"/>
      <c r="B2833" s="4"/>
      <c r="C2833" s="4"/>
      <c r="D2833" s="4"/>
      <c r="E2833" s="4"/>
      <c r="F2833" s="4"/>
      <c r="G2833" s="4"/>
      <c r="H2833" s="4"/>
      <c r="I2833" s="4"/>
      <c r="J2833" s="4"/>
      <c r="K2833" s="4"/>
      <c r="L2833" s="4"/>
      <c r="M2833" s="4"/>
      <c r="N2833" s="4"/>
      <c r="O2833" s="4"/>
      <c r="P2833" s="4"/>
      <c r="Q2833" s="4"/>
      <c r="R2833" s="4"/>
      <c r="S2833" s="4"/>
      <c r="T2833" s="4"/>
      <c r="U2833" s="4"/>
      <c r="V2833" s="4"/>
      <c r="W2833" s="4"/>
      <c r="X2833" s="4"/>
      <c r="Y2833" s="4"/>
      <c r="Z2833" s="4"/>
      <c r="AA2833" s="4"/>
      <c r="AB2833" s="5"/>
    </row>
    <row r="2834" spans="1:28" x14ac:dyDescent="0.35">
      <c r="A2834" s="3"/>
      <c r="B2834" s="4"/>
      <c r="C2834" s="4"/>
      <c r="D2834" s="4"/>
      <c r="E2834" s="4"/>
      <c r="F2834" s="4"/>
      <c r="G2834" s="4"/>
      <c r="H2834" s="4"/>
      <c r="I2834" s="4"/>
      <c r="J2834" s="4"/>
      <c r="K2834" s="4"/>
      <c r="L2834" s="4"/>
      <c r="M2834" s="4"/>
      <c r="N2834" s="4"/>
      <c r="O2834" s="4"/>
      <c r="P2834" s="4"/>
      <c r="Q2834" s="4"/>
      <c r="R2834" s="4"/>
      <c r="S2834" s="4"/>
      <c r="T2834" s="4"/>
      <c r="U2834" s="4"/>
      <c r="V2834" s="4"/>
      <c r="W2834" s="4"/>
      <c r="X2834" s="4"/>
      <c r="Y2834" s="4"/>
      <c r="Z2834" s="4"/>
      <c r="AA2834" s="4"/>
      <c r="AB2834" s="5"/>
    </row>
    <row r="2835" spans="1:28" x14ac:dyDescent="0.35">
      <c r="A2835" s="3"/>
      <c r="B2835" s="4"/>
      <c r="C2835" s="4"/>
      <c r="D2835" s="4"/>
      <c r="E2835" s="4"/>
      <c r="F2835" s="4"/>
      <c r="G2835" s="4"/>
      <c r="H2835" s="4"/>
      <c r="I2835" s="4"/>
      <c r="J2835" s="4"/>
      <c r="K2835" s="4"/>
      <c r="L2835" s="4"/>
      <c r="M2835" s="4"/>
      <c r="N2835" s="4"/>
      <c r="O2835" s="4"/>
      <c r="P2835" s="4"/>
      <c r="Q2835" s="4"/>
      <c r="R2835" s="4"/>
      <c r="S2835" s="4"/>
      <c r="T2835" s="4"/>
      <c r="U2835" s="4"/>
      <c r="V2835" s="4"/>
      <c r="W2835" s="4"/>
      <c r="X2835" s="4"/>
      <c r="Y2835" s="4"/>
      <c r="Z2835" s="4"/>
      <c r="AA2835" s="4"/>
      <c r="AB2835" s="5"/>
    </row>
    <row r="2836" spans="1:28" x14ac:dyDescent="0.35">
      <c r="A2836" s="3"/>
      <c r="B2836" s="4"/>
      <c r="C2836" s="4"/>
      <c r="D2836" s="4"/>
      <c r="E2836" s="4"/>
      <c r="F2836" s="4"/>
      <c r="G2836" s="4"/>
      <c r="H2836" s="4"/>
      <c r="I2836" s="4"/>
      <c r="J2836" s="4"/>
      <c r="K2836" s="4"/>
      <c r="L2836" s="4"/>
      <c r="M2836" s="4"/>
      <c r="N2836" s="4"/>
      <c r="O2836" s="4"/>
      <c r="P2836" s="4"/>
      <c r="Q2836" s="4"/>
      <c r="R2836" s="4"/>
      <c r="S2836" s="4"/>
      <c r="T2836" s="4"/>
      <c r="U2836" s="4"/>
      <c r="V2836" s="4"/>
      <c r="W2836" s="4"/>
      <c r="X2836" s="4"/>
      <c r="Y2836" s="4"/>
      <c r="Z2836" s="4"/>
      <c r="AA2836" s="4"/>
      <c r="AB2836" s="5"/>
    </row>
    <row r="2837" spans="1:28" x14ac:dyDescent="0.35">
      <c r="A2837" s="3"/>
      <c r="B2837" s="4"/>
      <c r="C2837" s="4"/>
      <c r="D2837" s="4"/>
      <c r="E2837" s="4"/>
      <c r="F2837" s="4"/>
      <c r="G2837" s="4"/>
      <c r="H2837" s="4"/>
      <c r="I2837" s="4"/>
      <c r="J2837" s="4"/>
      <c r="K2837" s="4"/>
      <c r="L2837" s="4"/>
      <c r="M2837" s="4"/>
      <c r="N2837" s="4"/>
      <c r="O2837" s="4"/>
      <c r="P2837" s="4"/>
      <c r="Q2837" s="4"/>
      <c r="R2837" s="4"/>
      <c r="S2837" s="4"/>
      <c r="T2837" s="4"/>
      <c r="U2837" s="4"/>
      <c r="V2837" s="4"/>
      <c r="W2837" s="4"/>
      <c r="X2837" s="4"/>
      <c r="Y2837" s="4"/>
      <c r="Z2837" s="4"/>
      <c r="AA2837" s="4"/>
      <c r="AB2837" s="5"/>
    </row>
    <row r="2838" spans="1:28" x14ac:dyDescent="0.35">
      <c r="A2838" s="3"/>
      <c r="B2838" s="4"/>
      <c r="C2838" s="4"/>
      <c r="D2838" s="4"/>
      <c r="E2838" s="4"/>
      <c r="F2838" s="4"/>
      <c r="G2838" s="4"/>
      <c r="H2838" s="4"/>
      <c r="I2838" s="4"/>
      <c r="J2838" s="4"/>
      <c r="K2838" s="4"/>
      <c r="L2838" s="4"/>
      <c r="M2838" s="4"/>
      <c r="N2838" s="4"/>
      <c r="O2838" s="4"/>
      <c r="P2838" s="4"/>
      <c r="Q2838" s="4"/>
      <c r="R2838" s="4"/>
      <c r="S2838" s="4"/>
      <c r="T2838" s="4"/>
      <c r="U2838" s="4"/>
      <c r="V2838" s="4"/>
      <c r="W2838" s="4"/>
      <c r="X2838" s="4"/>
      <c r="Y2838" s="4"/>
      <c r="Z2838" s="4"/>
      <c r="AA2838" s="4"/>
      <c r="AB2838" s="5"/>
    </row>
    <row r="2839" spans="1:28" x14ac:dyDescent="0.35">
      <c r="A2839" s="3"/>
      <c r="B2839" s="4"/>
      <c r="C2839" s="4"/>
      <c r="D2839" s="4"/>
      <c r="E2839" s="4"/>
      <c r="F2839" s="4"/>
      <c r="G2839" s="4"/>
      <c r="H2839" s="4"/>
      <c r="I2839" s="4"/>
      <c r="J2839" s="4"/>
      <c r="K2839" s="4"/>
      <c r="L2839" s="4"/>
      <c r="M2839" s="4"/>
      <c r="N2839" s="4"/>
      <c r="O2839" s="4"/>
      <c r="P2839" s="4"/>
      <c r="Q2839" s="4"/>
      <c r="R2839" s="4"/>
      <c r="S2839" s="4"/>
      <c r="T2839" s="4"/>
      <c r="U2839" s="4"/>
      <c r="V2839" s="4"/>
      <c r="W2839" s="4"/>
      <c r="X2839" s="4"/>
      <c r="Y2839" s="4"/>
      <c r="Z2839" s="4"/>
      <c r="AA2839" s="4"/>
      <c r="AB2839" s="5"/>
    </row>
    <row r="2840" spans="1:28" x14ac:dyDescent="0.35">
      <c r="A2840" s="3"/>
      <c r="B2840" s="4"/>
      <c r="C2840" s="4"/>
      <c r="D2840" s="4"/>
      <c r="E2840" s="4"/>
      <c r="F2840" s="4"/>
      <c r="G2840" s="4"/>
      <c r="H2840" s="4"/>
      <c r="I2840" s="4"/>
      <c r="J2840" s="4"/>
      <c r="K2840" s="4"/>
      <c r="L2840" s="4"/>
      <c r="M2840" s="4"/>
      <c r="N2840" s="4"/>
      <c r="O2840" s="4"/>
      <c r="P2840" s="4"/>
      <c r="Q2840" s="4"/>
      <c r="R2840" s="4"/>
      <c r="S2840" s="4"/>
      <c r="T2840" s="4"/>
      <c r="U2840" s="4"/>
      <c r="V2840" s="4"/>
      <c r="W2840" s="4"/>
      <c r="X2840" s="4"/>
      <c r="Y2840" s="4"/>
      <c r="Z2840" s="4"/>
      <c r="AA2840" s="4"/>
      <c r="AB2840" s="5"/>
    </row>
    <row r="2841" spans="1:28" x14ac:dyDescent="0.35">
      <c r="A2841" s="3"/>
      <c r="B2841" s="4"/>
      <c r="C2841" s="4"/>
      <c r="D2841" s="4"/>
      <c r="E2841" s="4"/>
      <c r="F2841" s="4"/>
      <c r="G2841" s="4"/>
      <c r="H2841" s="4"/>
      <c r="I2841" s="4"/>
      <c r="J2841" s="4"/>
      <c r="K2841" s="4"/>
      <c r="L2841" s="4"/>
      <c r="M2841" s="4"/>
      <c r="N2841" s="4"/>
      <c r="O2841" s="4"/>
      <c r="P2841" s="4"/>
      <c r="Q2841" s="4"/>
      <c r="R2841" s="4"/>
      <c r="S2841" s="4"/>
      <c r="T2841" s="4"/>
      <c r="U2841" s="4"/>
      <c r="V2841" s="4"/>
      <c r="W2841" s="4"/>
      <c r="X2841" s="4"/>
      <c r="Y2841" s="4"/>
      <c r="Z2841" s="4"/>
      <c r="AA2841" s="4"/>
      <c r="AB2841" s="5"/>
    </row>
    <row r="2842" spans="1:28" x14ac:dyDescent="0.35">
      <c r="A2842" s="3"/>
      <c r="B2842" s="4"/>
      <c r="C2842" s="4"/>
      <c r="D2842" s="4"/>
      <c r="E2842" s="4"/>
      <c r="F2842" s="4"/>
      <c r="G2842" s="4"/>
      <c r="H2842" s="4"/>
      <c r="I2842" s="4"/>
      <c r="J2842" s="4"/>
      <c r="K2842" s="4"/>
      <c r="L2842" s="4"/>
      <c r="M2842" s="4"/>
      <c r="N2842" s="4"/>
      <c r="O2842" s="4"/>
      <c r="P2842" s="4"/>
      <c r="Q2842" s="4"/>
      <c r="R2842" s="4"/>
      <c r="S2842" s="4"/>
      <c r="T2842" s="4"/>
      <c r="U2842" s="4"/>
      <c r="V2842" s="4"/>
      <c r="W2842" s="4"/>
      <c r="X2842" s="4"/>
      <c r="Y2842" s="4"/>
      <c r="Z2842" s="4"/>
      <c r="AA2842" s="4"/>
      <c r="AB2842" s="5"/>
    </row>
    <row r="2843" spans="1:28" x14ac:dyDescent="0.35">
      <c r="A2843" s="3"/>
      <c r="B2843" s="4"/>
      <c r="C2843" s="4"/>
      <c r="D2843" s="4"/>
      <c r="E2843" s="4"/>
      <c r="F2843" s="4"/>
      <c r="G2843" s="4"/>
      <c r="H2843" s="4"/>
      <c r="I2843" s="4"/>
      <c r="J2843" s="4"/>
      <c r="K2843" s="4"/>
      <c r="L2843" s="4"/>
      <c r="M2843" s="4"/>
      <c r="N2843" s="4"/>
      <c r="O2843" s="4"/>
      <c r="P2843" s="4"/>
      <c r="Q2843" s="4"/>
      <c r="R2843" s="4"/>
      <c r="S2843" s="4"/>
      <c r="T2843" s="4"/>
      <c r="U2843" s="4"/>
      <c r="V2843" s="4"/>
      <c r="W2843" s="4"/>
      <c r="X2843" s="4"/>
      <c r="Y2843" s="4"/>
      <c r="Z2843" s="4"/>
      <c r="AA2843" s="4"/>
      <c r="AB2843" s="5"/>
    </row>
    <row r="2844" spans="1:28" x14ac:dyDescent="0.35">
      <c r="A2844" s="3"/>
      <c r="B2844" s="4"/>
      <c r="C2844" s="4"/>
      <c r="D2844" s="4"/>
      <c r="E2844" s="4"/>
      <c r="F2844" s="4"/>
      <c r="G2844" s="4"/>
      <c r="H2844" s="4"/>
      <c r="I2844" s="4"/>
      <c r="J2844" s="4"/>
      <c r="K2844" s="4"/>
      <c r="L2844" s="4"/>
      <c r="M2844" s="4"/>
      <c r="N2844" s="4"/>
      <c r="O2844" s="4"/>
      <c r="P2844" s="4"/>
      <c r="Q2844" s="4"/>
      <c r="R2844" s="4"/>
      <c r="S2844" s="4"/>
      <c r="T2844" s="4"/>
      <c r="U2844" s="4"/>
      <c r="V2844" s="4"/>
      <c r="W2844" s="4"/>
      <c r="X2844" s="4"/>
      <c r="Y2844" s="4"/>
      <c r="Z2844" s="4"/>
      <c r="AA2844" s="4"/>
      <c r="AB2844" s="5"/>
    </row>
    <row r="2845" spans="1:28" x14ac:dyDescent="0.35">
      <c r="A2845" s="3"/>
      <c r="B2845" s="4"/>
      <c r="C2845" s="4"/>
      <c r="D2845" s="4"/>
      <c r="E2845" s="4"/>
      <c r="F2845" s="4"/>
      <c r="G2845" s="4"/>
      <c r="H2845" s="4"/>
      <c r="I2845" s="4"/>
      <c r="J2845" s="4"/>
      <c r="K2845" s="4"/>
      <c r="L2845" s="4"/>
      <c r="M2845" s="4"/>
      <c r="N2845" s="4"/>
      <c r="O2845" s="4"/>
      <c r="P2845" s="4"/>
      <c r="Q2845" s="4"/>
      <c r="R2845" s="4"/>
      <c r="S2845" s="4"/>
      <c r="T2845" s="4"/>
      <c r="U2845" s="4"/>
      <c r="V2845" s="4"/>
      <c r="W2845" s="4"/>
      <c r="X2845" s="4"/>
      <c r="Y2845" s="4"/>
      <c r="Z2845" s="4"/>
      <c r="AA2845" s="4"/>
      <c r="AB2845" s="5"/>
    </row>
    <row r="2846" spans="1:28" x14ac:dyDescent="0.35">
      <c r="A2846" s="3"/>
      <c r="B2846" s="4"/>
      <c r="C2846" s="4"/>
      <c r="D2846" s="4"/>
      <c r="E2846" s="4"/>
      <c r="F2846" s="4"/>
      <c r="G2846" s="4"/>
      <c r="H2846" s="4"/>
      <c r="I2846" s="4"/>
      <c r="J2846" s="4"/>
      <c r="K2846" s="4"/>
      <c r="L2846" s="4"/>
      <c r="M2846" s="4"/>
      <c r="N2846" s="4"/>
      <c r="O2846" s="4"/>
      <c r="P2846" s="4"/>
      <c r="Q2846" s="4"/>
      <c r="R2846" s="4"/>
      <c r="S2846" s="4"/>
      <c r="T2846" s="4"/>
      <c r="U2846" s="4"/>
      <c r="V2846" s="4"/>
      <c r="W2846" s="4"/>
      <c r="X2846" s="4"/>
      <c r="Y2846" s="4"/>
      <c r="Z2846" s="4"/>
      <c r="AA2846" s="4"/>
      <c r="AB2846" s="5"/>
    </row>
    <row r="2847" spans="1:28" x14ac:dyDescent="0.35">
      <c r="A2847" s="3"/>
      <c r="B2847" s="4"/>
      <c r="C2847" s="4"/>
      <c r="D2847" s="4"/>
      <c r="E2847" s="4"/>
      <c r="F2847" s="4"/>
      <c r="G2847" s="4"/>
      <c r="H2847" s="4"/>
      <c r="I2847" s="4"/>
      <c r="J2847" s="4"/>
      <c r="K2847" s="4"/>
      <c r="L2847" s="4"/>
      <c r="M2847" s="4"/>
      <c r="N2847" s="4"/>
      <c r="O2847" s="4"/>
      <c r="P2847" s="4"/>
      <c r="Q2847" s="4"/>
      <c r="R2847" s="4"/>
      <c r="S2847" s="4"/>
      <c r="T2847" s="4"/>
      <c r="U2847" s="4"/>
      <c r="V2847" s="4"/>
      <c r="W2847" s="4"/>
      <c r="X2847" s="4"/>
      <c r="Y2847" s="4"/>
      <c r="Z2847" s="4"/>
      <c r="AA2847" s="4"/>
      <c r="AB2847" s="5"/>
    </row>
    <row r="2848" spans="1:28" x14ac:dyDescent="0.35">
      <c r="A2848" s="3"/>
      <c r="B2848" s="4"/>
      <c r="C2848" s="4"/>
      <c r="D2848" s="4"/>
      <c r="E2848" s="4"/>
      <c r="F2848" s="4"/>
      <c r="G2848" s="4"/>
      <c r="H2848" s="4"/>
      <c r="I2848" s="4"/>
      <c r="J2848" s="4"/>
      <c r="K2848" s="4"/>
      <c r="L2848" s="4"/>
      <c r="M2848" s="4"/>
      <c r="N2848" s="4"/>
      <c r="O2848" s="4"/>
      <c r="P2848" s="4"/>
      <c r="Q2848" s="4"/>
      <c r="R2848" s="4"/>
      <c r="S2848" s="4"/>
      <c r="T2848" s="4"/>
      <c r="U2848" s="4"/>
      <c r="V2848" s="4"/>
      <c r="W2848" s="4"/>
      <c r="X2848" s="4"/>
      <c r="Y2848" s="4"/>
      <c r="Z2848" s="4"/>
      <c r="AA2848" s="4"/>
      <c r="AB2848" s="5"/>
    </row>
    <row r="2849" spans="1:28" x14ac:dyDescent="0.35">
      <c r="A2849" s="3"/>
      <c r="B2849" s="4"/>
      <c r="C2849" s="4"/>
      <c r="D2849" s="4"/>
      <c r="E2849" s="4"/>
      <c r="F2849" s="4"/>
      <c r="G2849" s="4"/>
      <c r="H2849" s="4"/>
      <c r="I2849" s="4"/>
      <c r="J2849" s="4"/>
      <c r="K2849" s="4"/>
      <c r="L2849" s="4"/>
      <c r="M2849" s="4"/>
      <c r="N2849" s="4"/>
      <c r="O2849" s="4"/>
      <c r="P2849" s="4"/>
      <c r="Q2849" s="4"/>
      <c r="R2849" s="4"/>
      <c r="S2849" s="4"/>
      <c r="T2849" s="4"/>
      <c r="U2849" s="4"/>
      <c r="V2849" s="4"/>
      <c r="W2849" s="4"/>
      <c r="X2849" s="4"/>
      <c r="Y2849" s="4"/>
      <c r="Z2849" s="4"/>
      <c r="AA2849" s="4"/>
      <c r="AB2849" s="5"/>
    </row>
    <row r="2850" spans="1:28" x14ac:dyDescent="0.35">
      <c r="A2850" s="3"/>
      <c r="B2850" s="4"/>
      <c r="C2850" s="4"/>
      <c r="D2850" s="4"/>
      <c r="E2850" s="4"/>
      <c r="F2850" s="4"/>
      <c r="G2850" s="4"/>
      <c r="H2850" s="4"/>
      <c r="I2850" s="4"/>
      <c r="J2850" s="4"/>
      <c r="K2850" s="4"/>
      <c r="L2850" s="4"/>
      <c r="M2850" s="4"/>
      <c r="N2850" s="4"/>
      <c r="O2850" s="4"/>
      <c r="P2850" s="4"/>
      <c r="Q2850" s="4"/>
      <c r="R2850" s="4"/>
      <c r="S2850" s="4"/>
      <c r="T2850" s="4"/>
      <c r="U2850" s="4"/>
      <c r="V2850" s="4"/>
      <c r="W2850" s="4"/>
      <c r="X2850" s="4"/>
      <c r="Y2850" s="4"/>
      <c r="Z2850" s="4"/>
      <c r="AA2850" s="4"/>
      <c r="AB2850" s="5"/>
    </row>
    <row r="2851" spans="1:28" x14ac:dyDescent="0.35">
      <c r="A2851" s="3"/>
      <c r="B2851" s="4"/>
      <c r="C2851" s="4"/>
      <c r="D2851" s="4"/>
      <c r="E2851" s="4"/>
      <c r="F2851" s="4"/>
      <c r="G2851" s="4"/>
      <c r="H2851" s="4"/>
      <c r="I2851" s="4"/>
      <c r="J2851" s="4"/>
      <c r="K2851" s="4"/>
      <c r="L2851" s="4"/>
      <c r="M2851" s="4"/>
      <c r="N2851" s="4"/>
      <c r="O2851" s="4"/>
      <c r="P2851" s="4"/>
      <c r="Q2851" s="4"/>
      <c r="R2851" s="4"/>
      <c r="S2851" s="4"/>
      <c r="T2851" s="4"/>
      <c r="U2851" s="4"/>
      <c r="V2851" s="4"/>
      <c r="W2851" s="4"/>
      <c r="X2851" s="4"/>
      <c r="Y2851" s="4"/>
      <c r="Z2851" s="4"/>
      <c r="AA2851" s="4"/>
      <c r="AB2851" s="5"/>
    </row>
    <row r="2852" spans="1:28" x14ac:dyDescent="0.35">
      <c r="A2852" s="3"/>
      <c r="B2852" s="4"/>
      <c r="C2852" s="4"/>
      <c r="D2852" s="4"/>
      <c r="E2852" s="4"/>
      <c r="F2852" s="4"/>
      <c r="G2852" s="4"/>
      <c r="H2852" s="4"/>
      <c r="I2852" s="4"/>
      <c r="J2852" s="4"/>
      <c r="K2852" s="4"/>
      <c r="L2852" s="4"/>
      <c r="M2852" s="4"/>
      <c r="N2852" s="4"/>
      <c r="O2852" s="4"/>
      <c r="P2852" s="4"/>
      <c r="Q2852" s="4"/>
      <c r="R2852" s="4"/>
      <c r="S2852" s="4"/>
      <c r="T2852" s="4"/>
      <c r="U2852" s="4"/>
      <c r="V2852" s="4"/>
      <c r="W2852" s="4"/>
      <c r="X2852" s="4"/>
      <c r="Y2852" s="4"/>
      <c r="Z2852" s="4"/>
      <c r="AA2852" s="4"/>
      <c r="AB2852" s="5"/>
    </row>
    <row r="2853" spans="1:28" x14ac:dyDescent="0.35">
      <c r="A2853" s="3"/>
      <c r="B2853" s="4"/>
      <c r="C2853" s="4"/>
      <c r="D2853" s="4"/>
      <c r="E2853" s="4"/>
      <c r="F2853" s="4"/>
      <c r="G2853" s="4"/>
      <c r="H2853" s="4"/>
      <c r="I2853" s="4"/>
      <c r="J2853" s="4"/>
      <c r="K2853" s="4"/>
      <c r="L2853" s="4"/>
      <c r="M2853" s="4"/>
      <c r="N2853" s="4"/>
      <c r="O2853" s="4"/>
      <c r="P2853" s="4"/>
      <c r="Q2853" s="4"/>
      <c r="R2853" s="4"/>
      <c r="S2853" s="4"/>
      <c r="T2853" s="4"/>
      <c r="U2853" s="4"/>
      <c r="V2853" s="4"/>
      <c r="W2853" s="4"/>
      <c r="X2853" s="4"/>
      <c r="Y2853" s="4"/>
      <c r="Z2853" s="4"/>
      <c r="AA2853" s="4"/>
      <c r="AB2853" s="5"/>
    </row>
    <row r="2854" spans="1:28" x14ac:dyDescent="0.35">
      <c r="A2854" s="3"/>
      <c r="B2854" s="4"/>
      <c r="C2854" s="4"/>
      <c r="D2854" s="4"/>
      <c r="E2854" s="4"/>
      <c r="F2854" s="4"/>
      <c r="G2854" s="4"/>
      <c r="H2854" s="4"/>
      <c r="I2854" s="4"/>
      <c r="J2854" s="4"/>
      <c r="K2854" s="4"/>
      <c r="L2854" s="4"/>
      <c r="M2854" s="4"/>
      <c r="N2854" s="4"/>
      <c r="O2854" s="4"/>
      <c r="P2854" s="4"/>
      <c r="Q2854" s="4"/>
      <c r="R2854" s="4"/>
      <c r="S2854" s="4"/>
      <c r="T2854" s="4"/>
      <c r="U2854" s="4"/>
      <c r="V2854" s="4"/>
      <c r="W2854" s="4"/>
      <c r="X2854" s="4"/>
      <c r="Y2854" s="4"/>
      <c r="Z2854" s="4"/>
      <c r="AA2854" s="4"/>
      <c r="AB2854" s="5"/>
    </row>
    <row r="2855" spans="1:28" x14ac:dyDescent="0.35">
      <c r="A2855" s="3"/>
      <c r="B2855" s="4"/>
      <c r="C2855" s="4"/>
      <c r="D2855" s="4"/>
      <c r="E2855" s="4"/>
      <c r="F2855" s="4"/>
      <c r="G2855" s="4"/>
      <c r="H2855" s="4"/>
      <c r="I2855" s="4"/>
      <c r="J2855" s="4"/>
      <c r="K2855" s="4"/>
      <c r="L2855" s="4"/>
      <c r="M2855" s="4"/>
      <c r="N2855" s="4"/>
      <c r="O2855" s="4"/>
      <c r="P2855" s="4"/>
      <c r="Q2855" s="4"/>
      <c r="R2855" s="4"/>
      <c r="S2855" s="4"/>
      <c r="T2855" s="4"/>
      <c r="U2855" s="4"/>
      <c r="V2855" s="4"/>
      <c r="W2855" s="4"/>
      <c r="X2855" s="4"/>
      <c r="Y2855" s="4"/>
      <c r="Z2855" s="4"/>
      <c r="AA2855" s="4"/>
      <c r="AB2855" s="5"/>
    </row>
    <row r="2856" spans="1:28" x14ac:dyDescent="0.35">
      <c r="A2856" s="3"/>
      <c r="B2856" s="4"/>
      <c r="C2856" s="4"/>
      <c r="D2856" s="4"/>
      <c r="E2856" s="4"/>
      <c r="F2856" s="4"/>
      <c r="G2856" s="4"/>
      <c r="H2856" s="4"/>
      <c r="I2856" s="4"/>
      <c r="J2856" s="4"/>
      <c r="K2856" s="4"/>
      <c r="L2856" s="4"/>
      <c r="M2856" s="4"/>
      <c r="N2856" s="4"/>
      <c r="O2856" s="4"/>
      <c r="P2856" s="4"/>
      <c r="Q2856" s="4"/>
      <c r="R2856" s="4"/>
      <c r="S2856" s="4"/>
      <c r="T2856" s="4"/>
      <c r="U2856" s="4"/>
      <c r="V2856" s="4"/>
      <c r="W2856" s="4"/>
      <c r="X2856" s="4"/>
      <c r="Y2856" s="4"/>
      <c r="Z2856" s="4"/>
      <c r="AA2856" s="4"/>
      <c r="AB2856" s="5"/>
    </row>
    <row r="2857" spans="1:28" x14ac:dyDescent="0.35">
      <c r="A2857" s="3"/>
      <c r="B2857" s="4"/>
      <c r="C2857" s="4"/>
      <c r="D2857" s="4"/>
      <c r="E2857" s="4"/>
      <c r="F2857" s="4"/>
      <c r="G2857" s="4"/>
      <c r="H2857" s="4"/>
      <c r="I2857" s="4"/>
      <c r="J2857" s="4"/>
      <c r="K2857" s="4"/>
      <c r="L2857" s="4"/>
      <c r="M2857" s="4"/>
      <c r="N2857" s="4"/>
      <c r="O2857" s="4"/>
      <c r="P2857" s="4"/>
      <c r="Q2857" s="4"/>
      <c r="R2857" s="4"/>
      <c r="S2857" s="4"/>
      <c r="T2857" s="4"/>
      <c r="U2857" s="4"/>
      <c r="V2857" s="4"/>
      <c r="W2857" s="4"/>
      <c r="X2857" s="4"/>
      <c r="Y2857" s="4"/>
      <c r="Z2857" s="4"/>
      <c r="AA2857" s="4"/>
      <c r="AB2857" s="5"/>
    </row>
    <row r="2858" spans="1:28" x14ac:dyDescent="0.35">
      <c r="A2858" s="3"/>
      <c r="B2858" s="4"/>
      <c r="C2858" s="4"/>
      <c r="D2858" s="4"/>
      <c r="E2858" s="4"/>
      <c r="F2858" s="4"/>
      <c r="G2858" s="4"/>
      <c r="H2858" s="4"/>
      <c r="I2858" s="4"/>
      <c r="J2858" s="4"/>
      <c r="K2858" s="4"/>
      <c r="L2858" s="4"/>
      <c r="M2858" s="4"/>
      <c r="N2858" s="4"/>
      <c r="O2858" s="4"/>
      <c r="P2858" s="4"/>
      <c r="Q2858" s="4"/>
      <c r="R2858" s="4"/>
      <c r="S2858" s="4"/>
      <c r="T2858" s="4"/>
      <c r="U2858" s="4"/>
      <c r="V2858" s="4"/>
      <c r="W2858" s="4"/>
      <c r="X2858" s="4"/>
      <c r="Y2858" s="4"/>
      <c r="Z2858" s="4"/>
      <c r="AA2858" s="4"/>
      <c r="AB2858" s="5"/>
    </row>
    <row r="2859" spans="1:28" x14ac:dyDescent="0.35">
      <c r="A2859" s="3"/>
      <c r="B2859" s="4"/>
      <c r="C2859" s="4"/>
      <c r="D2859" s="4"/>
      <c r="E2859" s="4"/>
      <c r="F2859" s="4"/>
      <c r="G2859" s="4"/>
      <c r="H2859" s="4"/>
      <c r="I2859" s="4"/>
      <c r="J2859" s="4"/>
      <c r="K2859" s="4"/>
      <c r="L2859" s="4"/>
      <c r="M2859" s="4"/>
      <c r="N2859" s="4"/>
      <c r="O2859" s="4"/>
      <c r="P2859" s="4"/>
      <c r="Q2859" s="4"/>
      <c r="R2859" s="4"/>
      <c r="S2859" s="4"/>
      <c r="T2859" s="4"/>
      <c r="U2859" s="4"/>
      <c r="V2859" s="4"/>
      <c r="W2859" s="4"/>
      <c r="X2859" s="4"/>
      <c r="Y2859" s="4"/>
      <c r="Z2859" s="4"/>
      <c r="AA2859" s="4"/>
      <c r="AB2859" s="5"/>
    </row>
    <row r="2860" spans="1:28" x14ac:dyDescent="0.35">
      <c r="A2860" s="3"/>
      <c r="B2860" s="4"/>
      <c r="C2860" s="4"/>
      <c r="D2860" s="4"/>
      <c r="E2860" s="4"/>
      <c r="F2860" s="4"/>
      <c r="G2860" s="4"/>
      <c r="H2860" s="4"/>
      <c r="I2860" s="4"/>
      <c r="J2860" s="4"/>
      <c r="K2860" s="4"/>
      <c r="L2860" s="4"/>
      <c r="M2860" s="4"/>
      <c r="N2860" s="4"/>
      <c r="O2860" s="4"/>
      <c r="P2860" s="4"/>
      <c r="Q2860" s="4"/>
      <c r="R2860" s="4"/>
      <c r="S2860" s="4"/>
      <c r="T2860" s="4"/>
      <c r="U2860" s="4"/>
      <c r="V2860" s="4"/>
      <c r="W2860" s="4"/>
      <c r="X2860" s="4"/>
      <c r="Y2860" s="4"/>
      <c r="Z2860" s="4"/>
      <c r="AA2860" s="4"/>
      <c r="AB2860" s="5"/>
    </row>
    <row r="2861" spans="1:28" x14ac:dyDescent="0.35">
      <c r="A2861" s="3"/>
      <c r="B2861" s="4"/>
      <c r="C2861" s="4"/>
      <c r="D2861" s="4"/>
      <c r="E2861" s="4"/>
      <c r="F2861" s="4"/>
      <c r="G2861" s="4"/>
      <c r="H2861" s="4"/>
      <c r="I2861" s="4"/>
      <c r="J2861" s="4"/>
      <c r="K2861" s="4"/>
      <c r="L2861" s="4"/>
      <c r="M2861" s="4"/>
      <c r="N2861" s="4"/>
      <c r="O2861" s="4"/>
      <c r="P2861" s="4"/>
      <c r="Q2861" s="4"/>
      <c r="R2861" s="4"/>
      <c r="S2861" s="4"/>
      <c r="T2861" s="4"/>
      <c r="U2861" s="4"/>
      <c r="V2861" s="4"/>
      <c r="W2861" s="4"/>
      <c r="X2861" s="4"/>
      <c r="Y2861" s="4"/>
      <c r="Z2861" s="4"/>
      <c r="AA2861" s="4"/>
      <c r="AB2861" s="5"/>
    </row>
    <row r="2862" spans="1:28" x14ac:dyDescent="0.35">
      <c r="A2862" s="3"/>
      <c r="B2862" s="4"/>
      <c r="C2862" s="4"/>
      <c r="D2862" s="4"/>
      <c r="E2862" s="4"/>
      <c r="F2862" s="4"/>
      <c r="G2862" s="4"/>
      <c r="H2862" s="4"/>
      <c r="I2862" s="4"/>
      <c r="J2862" s="4"/>
      <c r="K2862" s="4"/>
      <c r="L2862" s="4"/>
      <c r="M2862" s="4"/>
      <c r="N2862" s="4"/>
      <c r="O2862" s="4"/>
      <c r="P2862" s="4"/>
      <c r="Q2862" s="4"/>
      <c r="R2862" s="4"/>
      <c r="S2862" s="4"/>
      <c r="T2862" s="4"/>
      <c r="U2862" s="4"/>
      <c r="V2862" s="4"/>
      <c r="W2862" s="4"/>
      <c r="X2862" s="4"/>
      <c r="Y2862" s="4"/>
      <c r="Z2862" s="4"/>
      <c r="AA2862" s="4"/>
      <c r="AB2862" s="5"/>
    </row>
    <row r="2863" spans="1:28" x14ac:dyDescent="0.35">
      <c r="A2863" s="3"/>
      <c r="B2863" s="4"/>
      <c r="C2863" s="4"/>
      <c r="D2863" s="4"/>
      <c r="E2863" s="4"/>
      <c r="F2863" s="4"/>
      <c r="G2863" s="4"/>
      <c r="H2863" s="4"/>
      <c r="I2863" s="4"/>
      <c r="J2863" s="4"/>
      <c r="K2863" s="4"/>
      <c r="L2863" s="4"/>
      <c r="M2863" s="4"/>
      <c r="N2863" s="4"/>
      <c r="O2863" s="4"/>
      <c r="P2863" s="4"/>
      <c r="Q2863" s="4"/>
      <c r="R2863" s="4"/>
      <c r="S2863" s="4"/>
      <c r="T2863" s="4"/>
      <c r="U2863" s="4"/>
      <c r="V2863" s="4"/>
      <c r="W2863" s="4"/>
      <c r="X2863" s="4"/>
      <c r="Y2863" s="4"/>
      <c r="Z2863" s="4"/>
      <c r="AA2863" s="4"/>
      <c r="AB2863" s="5"/>
    </row>
    <row r="2864" spans="1:28" x14ac:dyDescent="0.35">
      <c r="A2864" s="3"/>
      <c r="B2864" s="4"/>
      <c r="C2864" s="4"/>
      <c r="D2864" s="4"/>
      <c r="E2864" s="4"/>
      <c r="F2864" s="4"/>
      <c r="G2864" s="4"/>
      <c r="H2864" s="4"/>
      <c r="I2864" s="4"/>
      <c r="J2864" s="4"/>
      <c r="K2864" s="4"/>
      <c r="L2864" s="4"/>
      <c r="M2864" s="4"/>
      <c r="N2864" s="4"/>
      <c r="O2864" s="4"/>
      <c r="P2864" s="4"/>
      <c r="Q2864" s="4"/>
      <c r="R2864" s="4"/>
      <c r="S2864" s="4"/>
      <c r="T2864" s="4"/>
      <c r="U2864" s="4"/>
      <c r="V2864" s="4"/>
      <c r="W2864" s="4"/>
      <c r="X2864" s="4"/>
      <c r="Y2864" s="4"/>
      <c r="Z2864" s="4"/>
      <c r="AA2864" s="4"/>
      <c r="AB2864" s="5"/>
    </row>
    <row r="2865" spans="1:28" x14ac:dyDescent="0.35">
      <c r="A2865" s="3"/>
      <c r="B2865" s="4"/>
      <c r="C2865" s="4"/>
      <c r="D2865" s="4"/>
      <c r="E2865" s="4"/>
      <c r="F2865" s="4"/>
      <c r="G2865" s="4"/>
      <c r="H2865" s="4"/>
      <c r="I2865" s="4"/>
      <c r="J2865" s="4"/>
      <c r="K2865" s="4"/>
      <c r="L2865" s="4"/>
      <c r="M2865" s="4"/>
      <c r="N2865" s="4"/>
      <c r="O2865" s="4"/>
      <c r="P2865" s="4"/>
      <c r="Q2865" s="4"/>
      <c r="R2865" s="4"/>
      <c r="S2865" s="4"/>
      <c r="T2865" s="4"/>
      <c r="U2865" s="4"/>
      <c r="V2865" s="4"/>
      <c r="W2865" s="4"/>
      <c r="X2865" s="4"/>
      <c r="Y2865" s="4"/>
      <c r="Z2865" s="4"/>
      <c r="AA2865" s="4"/>
      <c r="AB2865" s="5"/>
    </row>
    <row r="2866" spans="1:28" x14ac:dyDescent="0.35">
      <c r="A2866" s="3"/>
      <c r="B2866" s="4"/>
      <c r="C2866" s="4"/>
      <c r="D2866" s="4"/>
      <c r="E2866" s="4"/>
      <c r="F2866" s="4"/>
      <c r="G2866" s="4"/>
      <c r="H2866" s="4"/>
      <c r="I2866" s="4"/>
      <c r="J2866" s="4"/>
      <c r="K2866" s="4"/>
      <c r="L2866" s="4"/>
      <c r="M2866" s="4"/>
      <c r="N2866" s="4"/>
      <c r="O2866" s="4"/>
      <c r="P2866" s="4"/>
      <c r="Q2866" s="4"/>
      <c r="R2866" s="4"/>
      <c r="S2866" s="4"/>
      <c r="T2866" s="4"/>
      <c r="U2866" s="4"/>
      <c r="V2866" s="4"/>
      <c r="W2866" s="4"/>
      <c r="X2866" s="4"/>
      <c r="Y2866" s="4"/>
      <c r="Z2866" s="4"/>
      <c r="AA2866" s="4"/>
      <c r="AB2866" s="5"/>
    </row>
    <row r="2867" spans="1:28" x14ac:dyDescent="0.35">
      <c r="A2867" s="3"/>
      <c r="B2867" s="4"/>
      <c r="C2867" s="4"/>
      <c r="D2867" s="4"/>
      <c r="E2867" s="4"/>
      <c r="F2867" s="4"/>
      <c r="G2867" s="4"/>
      <c r="H2867" s="4"/>
      <c r="I2867" s="4"/>
      <c r="J2867" s="4"/>
      <c r="K2867" s="4"/>
      <c r="L2867" s="4"/>
      <c r="M2867" s="4"/>
      <c r="N2867" s="4"/>
      <c r="O2867" s="4"/>
      <c r="P2867" s="4"/>
      <c r="Q2867" s="4"/>
      <c r="R2867" s="4"/>
      <c r="S2867" s="4"/>
      <c r="T2867" s="4"/>
      <c r="U2867" s="4"/>
      <c r="V2867" s="4"/>
      <c r="W2867" s="4"/>
      <c r="X2867" s="4"/>
      <c r="Y2867" s="4"/>
      <c r="Z2867" s="4"/>
      <c r="AA2867" s="4"/>
      <c r="AB2867" s="5"/>
    </row>
    <row r="2868" spans="1:28" x14ac:dyDescent="0.35">
      <c r="A2868" s="3"/>
      <c r="B2868" s="4"/>
      <c r="C2868" s="4"/>
      <c r="D2868" s="4"/>
      <c r="E2868" s="4"/>
      <c r="F2868" s="4"/>
      <c r="G2868" s="4"/>
      <c r="H2868" s="4"/>
      <c r="I2868" s="4"/>
      <c r="J2868" s="4"/>
      <c r="K2868" s="4"/>
      <c r="L2868" s="4"/>
      <c r="M2868" s="4"/>
      <c r="N2868" s="4"/>
      <c r="O2868" s="4"/>
      <c r="P2868" s="4"/>
      <c r="Q2868" s="4"/>
      <c r="R2868" s="4"/>
      <c r="S2868" s="4"/>
      <c r="T2868" s="4"/>
      <c r="U2868" s="4"/>
      <c r="V2868" s="4"/>
      <c r="W2868" s="4"/>
      <c r="X2868" s="4"/>
      <c r="Y2868" s="4"/>
      <c r="Z2868" s="4"/>
      <c r="AA2868" s="4"/>
      <c r="AB2868" s="5"/>
    </row>
    <row r="2869" spans="1:28" x14ac:dyDescent="0.35">
      <c r="A2869" s="3"/>
      <c r="B2869" s="4"/>
      <c r="C2869" s="4"/>
      <c r="D2869" s="4"/>
      <c r="E2869" s="4"/>
      <c r="F2869" s="4"/>
      <c r="G2869" s="4"/>
      <c r="H2869" s="4"/>
      <c r="I2869" s="4"/>
      <c r="J2869" s="4"/>
      <c r="K2869" s="4"/>
      <c r="L2869" s="4"/>
      <c r="M2869" s="4"/>
      <c r="N2869" s="4"/>
      <c r="O2869" s="4"/>
      <c r="P2869" s="4"/>
      <c r="Q2869" s="4"/>
      <c r="R2869" s="4"/>
      <c r="S2869" s="4"/>
      <c r="T2869" s="4"/>
      <c r="U2869" s="4"/>
      <c r="V2869" s="4"/>
      <c r="W2869" s="4"/>
      <c r="X2869" s="4"/>
      <c r="Y2869" s="4"/>
      <c r="Z2869" s="4"/>
      <c r="AA2869" s="4"/>
      <c r="AB2869" s="5"/>
    </row>
    <row r="2870" spans="1:28" x14ac:dyDescent="0.35">
      <c r="A2870" s="3"/>
      <c r="B2870" s="4"/>
      <c r="C2870" s="4"/>
      <c r="D2870" s="4"/>
      <c r="E2870" s="4"/>
      <c r="F2870" s="4"/>
      <c r="G2870" s="4"/>
      <c r="H2870" s="4"/>
      <c r="I2870" s="4"/>
      <c r="J2870" s="4"/>
      <c r="K2870" s="4"/>
      <c r="L2870" s="4"/>
      <c r="M2870" s="4"/>
      <c r="N2870" s="4"/>
      <c r="O2870" s="4"/>
      <c r="P2870" s="4"/>
      <c r="Q2870" s="4"/>
      <c r="R2870" s="4"/>
      <c r="S2870" s="4"/>
      <c r="T2870" s="4"/>
      <c r="U2870" s="4"/>
      <c r="V2870" s="4"/>
      <c r="W2870" s="4"/>
      <c r="X2870" s="4"/>
      <c r="Y2870" s="4"/>
      <c r="Z2870" s="4"/>
      <c r="AA2870" s="4"/>
      <c r="AB2870" s="5"/>
    </row>
    <row r="2871" spans="1:28" x14ac:dyDescent="0.35">
      <c r="A2871" s="3"/>
      <c r="B2871" s="4"/>
      <c r="C2871" s="4"/>
      <c r="D2871" s="4"/>
      <c r="E2871" s="4"/>
      <c r="F2871" s="4"/>
      <c r="G2871" s="4"/>
      <c r="H2871" s="4"/>
      <c r="I2871" s="4"/>
      <c r="J2871" s="4"/>
      <c r="K2871" s="4"/>
      <c r="L2871" s="4"/>
      <c r="M2871" s="4"/>
      <c r="N2871" s="4"/>
      <c r="O2871" s="4"/>
      <c r="P2871" s="4"/>
      <c r="Q2871" s="4"/>
      <c r="R2871" s="4"/>
      <c r="S2871" s="4"/>
      <c r="T2871" s="4"/>
      <c r="U2871" s="4"/>
      <c r="V2871" s="4"/>
      <c r="W2871" s="4"/>
      <c r="X2871" s="4"/>
      <c r="Y2871" s="4"/>
      <c r="Z2871" s="4"/>
      <c r="AA2871" s="4"/>
      <c r="AB2871" s="5"/>
    </row>
    <row r="2872" spans="1:28" x14ac:dyDescent="0.35">
      <c r="A2872" s="3"/>
      <c r="B2872" s="4"/>
      <c r="C2872" s="4"/>
      <c r="D2872" s="4"/>
      <c r="E2872" s="4"/>
      <c r="F2872" s="4"/>
      <c r="G2872" s="4"/>
      <c r="H2872" s="4"/>
      <c r="I2872" s="4"/>
      <c r="J2872" s="4"/>
      <c r="K2872" s="4"/>
      <c r="L2872" s="4"/>
      <c r="M2872" s="4"/>
      <c r="N2872" s="4"/>
      <c r="O2872" s="4"/>
      <c r="P2872" s="4"/>
      <c r="Q2872" s="4"/>
      <c r="R2872" s="4"/>
      <c r="S2872" s="4"/>
      <c r="T2872" s="4"/>
      <c r="U2872" s="4"/>
      <c r="V2872" s="4"/>
      <c r="W2872" s="4"/>
      <c r="X2872" s="4"/>
      <c r="Y2872" s="4"/>
      <c r="Z2872" s="4"/>
      <c r="AA2872" s="4"/>
      <c r="AB2872" s="5"/>
    </row>
    <row r="2873" spans="1:28" x14ac:dyDescent="0.35">
      <c r="A2873" s="3"/>
      <c r="B2873" s="4"/>
      <c r="C2873" s="4"/>
      <c r="D2873" s="4"/>
      <c r="E2873" s="4"/>
      <c r="F2873" s="4"/>
      <c r="G2873" s="4"/>
      <c r="H2873" s="4"/>
      <c r="I2873" s="4"/>
      <c r="J2873" s="4"/>
      <c r="K2873" s="4"/>
      <c r="L2873" s="4"/>
      <c r="M2873" s="4"/>
      <c r="N2873" s="4"/>
      <c r="O2873" s="4"/>
      <c r="P2873" s="4"/>
      <c r="Q2873" s="4"/>
      <c r="R2873" s="4"/>
      <c r="S2873" s="4"/>
      <c r="T2873" s="4"/>
      <c r="U2873" s="4"/>
      <c r="V2873" s="4"/>
      <c r="W2873" s="4"/>
      <c r="X2873" s="4"/>
      <c r="Y2873" s="4"/>
      <c r="Z2873" s="4"/>
      <c r="AA2873" s="4"/>
      <c r="AB2873" s="5"/>
    </row>
    <row r="2874" spans="1:28" x14ac:dyDescent="0.35">
      <c r="A2874" s="3"/>
      <c r="B2874" s="4"/>
      <c r="C2874" s="4"/>
      <c r="D2874" s="4"/>
      <c r="E2874" s="4"/>
      <c r="F2874" s="4"/>
      <c r="G2874" s="4"/>
      <c r="H2874" s="4"/>
      <c r="I2874" s="4"/>
      <c r="J2874" s="4"/>
      <c r="K2874" s="4"/>
      <c r="L2874" s="4"/>
      <c r="M2874" s="4"/>
      <c r="N2874" s="4"/>
      <c r="O2874" s="4"/>
      <c r="P2874" s="4"/>
      <c r="Q2874" s="4"/>
      <c r="R2874" s="4"/>
      <c r="S2874" s="4"/>
      <c r="T2874" s="4"/>
      <c r="U2874" s="4"/>
      <c r="V2874" s="4"/>
      <c r="W2874" s="4"/>
      <c r="X2874" s="4"/>
      <c r="Y2874" s="4"/>
      <c r="Z2874" s="4"/>
      <c r="AA2874" s="4"/>
      <c r="AB2874" s="5"/>
    </row>
    <row r="2875" spans="1:28" x14ac:dyDescent="0.35">
      <c r="A2875" s="3"/>
      <c r="B2875" s="4"/>
      <c r="C2875" s="4"/>
      <c r="D2875" s="4"/>
      <c r="E2875" s="4"/>
      <c r="F2875" s="4"/>
      <c r="G2875" s="4"/>
      <c r="H2875" s="4"/>
      <c r="I2875" s="4"/>
      <c r="J2875" s="4"/>
      <c r="K2875" s="4"/>
      <c r="L2875" s="4"/>
      <c r="M2875" s="4"/>
      <c r="N2875" s="4"/>
      <c r="O2875" s="4"/>
      <c r="P2875" s="4"/>
      <c r="Q2875" s="4"/>
      <c r="R2875" s="4"/>
      <c r="S2875" s="4"/>
      <c r="T2875" s="4"/>
      <c r="U2875" s="4"/>
      <c r="V2875" s="4"/>
      <c r="W2875" s="4"/>
      <c r="X2875" s="4"/>
      <c r="Y2875" s="4"/>
      <c r="Z2875" s="4"/>
      <c r="AA2875" s="4"/>
      <c r="AB2875" s="5"/>
    </row>
    <row r="2876" spans="1:28" x14ac:dyDescent="0.35">
      <c r="A2876" s="3"/>
      <c r="B2876" s="4"/>
      <c r="C2876" s="4"/>
      <c r="D2876" s="4"/>
      <c r="E2876" s="4"/>
      <c r="F2876" s="4"/>
      <c r="G2876" s="4"/>
      <c r="H2876" s="4"/>
      <c r="I2876" s="4"/>
      <c r="J2876" s="4"/>
      <c r="K2876" s="4"/>
      <c r="L2876" s="4"/>
      <c r="M2876" s="4"/>
      <c r="N2876" s="4"/>
      <c r="O2876" s="4"/>
      <c r="P2876" s="4"/>
      <c r="Q2876" s="4"/>
      <c r="R2876" s="4"/>
      <c r="S2876" s="4"/>
      <c r="T2876" s="4"/>
      <c r="U2876" s="4"/>
      <c r="V2876" s="4"/>
      <c r="W2876" s="4"/>
      <c r="X2876" s="4"/>
      <c r="Y2876" s="4"/>
      <c r="Z2876" s="4"/>
      <c r="AA2876" s="4"/>
      <c r="AB2876" s="5"/>
    </row>
    <row r="2877" spans="1:28" x14ac:dyDescent="0.35">
      <c r="A2877" s="3"/>
      <c r="B2877" s="4"/>
      <c r="C2877" s="4"/>
      <c r="D2877" s="4"/>
      <c r="E2877" s="4"/>
      <c r="F2877" s="4"/>
      <c r="G2877" s="4"/>
      <c r="H2877" s="4"/>
      <c r="I2877" s="4"/>
      <c r="J2877" s="4"/>
      <c r="K2877" s="4"/>
      <c r="L2877" s="4"/>
      <c r="M2877" s="4"/>
      <c r="N2877" s="4"/>
      <c r="O2877" s="4"/>
      <c r="P2877" s="4"/>
      <c r="Q2877" s="4"/>
      <c r="R2877" s="4"/>
      <c r="S2877" s="4"/>
      <c r="T2877" s="4"/>
      <c r="U2877" s="4"/>
      <c r="V2877" s="4"/>
      <c r="W2877" s="4"/>
      <c r="X2877" s="4"/>
      <c r="Y2877" s="4"/>
      <c r="Z2877" s="4"/>
      <c r="AA2877" s="4"/>
      <c r="AB2877" s="5"/>
    </row>
    <row r="2878" spans="1:28" x14ac:dyDescent="0.35">
      <c r="A2878" s="3"/>
      <c r="B2878" s="4"/>
      <c r="C2878" s="4"/>
      <c r="D2878" s="4"/>
      <c r="E2878" s="4"/>
      <c r="F2878" s="4"/>
      <c r="G2878" s="4"/>
      <c r="H2878" s="4"/>
      <c r="I2878" s="4"/>
      <c r="J2878" s="4"/>
      <c r="K2878" s="4"/>
      <c r="L2878" s="4"/>
      <c r="M2878" s="4"/>
      <c r="N2878" s="4"/>
      <c r="O2878" s="4"/>
      <c r="P2878" s="4"/>
      <c r="Q2878" s="4"/>
      <c r="R2878" s="4"/>
      <c r="S2878" s="4"/>
      <c r="T2878" s="4"/>
      <c r="U2878" s="4"/>
      <c r="V2878" s="4"/>
      <c r="W2878" s="4"/>
      <c r="X2878" s="4"/>
      <c r="Y2878" s="4"/>
      <c r="Z2878" s="4"/>
      <c r="AA2878" s="4"/>
      <c r="AB2878" s="5"/>
    </row>
    <row r="2879" spans="1:28" x14ac:dyDescent="0.35">
      <c r="A2879" s="3"/>
      <c r="B2879" s="4"/>
      <c r="C2879" s="4"/>
      <c r="D2879" s="4"/>
      <c r="E2879" s="4"/>
      <c r="F2879" s="4"/>
      <c r="G2879" s="4"/>
      <c r="H2879" s="4"/>
      <c r="I2879" s="4"/>
      <c r="J2879" s="4"/>
      <c r="K2879" s="4"/>
      <c r="L2879" s="4"/>
      <c r="M2879" s="4"/>
      <c r="N2879" s="4"/>
      <c r="O2879" s="4"/>
      <c r="P2879" s="4"/>
      <c r="Q2879" s="4"/>
      <c r="R2879" s="4"/>
      <c r="S2879" s="4"/>
      <c r="T2879" s="4"/>
      <c r="U2879" s="4"/>
      <c r="V2879" s="4"/>
      <c r="W2879" s="4"/>
      <c r="X2879" s="4"/>
      <c r="Y2879" s="4"/>
      <c r="Z2879" s="4"/>
      <c r="AA2879" s="4"/>
      <c r="AB2879" s="5"/>
    </row>
    <row r="2880" spans="1:28" x14ac:dyDescent="0.35">
      <c r="A2880" s="3"/>
      <c r="B2880" s="4"/>
      <c r="C2880" s="4"/>
      <c r="D2880" s="4"/>
      <c r="E2880" s="4"/>
      <c r="F2880" s="4"/>
      <c r="G2880" s="4"/>
      <c r="H2880" s="4"/>
      <c r="I2880" s="4"/>
      <c r="J2880" s="4"/>
      <c r="K2880" s="4"/>
      <c r="L2880" s="4"/>
      <c r="M2880" s="4"/>
      <c r="N2880" s="4"/>
      <c r="O2880" s="4"/>
      <c r="P2880" s="4"/>
      <c r="Q2880" s="4"/>
      <c r="R2880" s="4"/>
      <c r="S2880" s="4"/>
      <c r="T2880" s="4"/>
      <c r="U2880" s="4"/>
      <c r="V2880" s="4"/>
      <c r="W2880" s="4"/>
      <c r="X2880" s="4"/>
      <c r="Y2880" s="4"/>
      <c r="Z2880" s="4"/>
      <c r="AA2880" s="4"/>
      <c r="AB2880" s="5"/>
    </row>
    <row r="2881" spans="1:28" x14ac:dyDescent="0.35">
      <c r="A2881" s="3"/>
      <c r="B2881" s="4"/>
      <c r="C2881" s="4"/>
      <c r="D2881" s="4"/>
      <c r="E2881" s="4"/>
      <c r="F2881" s="4"/>
      <c r="G2881" s="4"/>
      <c r="H2881" s="4"/>
      <c r="I2881" s="4"/>
      <c r="J2881" s="4"/>
      <c r="K2881" s="4"/>
      <c r="L2881" s="4"/>
      <c r="M2881" s="4"/>
      <c r="N2881" s="4"/>
      <c r="O2881" s="4"/>
      <c r="P2881" s="4"/>
      <c r="Q2881" s="4"/>
      <c r="R2881" s="4"/>
      <c r="S2881" s="4"/>
      <c r="T2881" s="4"/>
      <c r="U2881" s="4"/>
      <c r="V2881" s="4"/>
      <c r="W2881" s="4"/>
      <c r="X2881" s="4"/>
      <c r="Y2881" s="4"/>
      <c r="Z2881" s="4"/>
      <c r="AA2881" s="4"/>
      <c r="AB2881" s="5"/>
    </row>
    <row r="2882" spans="1:28" x14ac:dyDescent="0.35">
      <c r="A2882" s="3"/>
      <c r="B2882" s="4"/>
      <c r="C2882" s="4"/>
      <c r="D2882" s="4"/>
      <c r="E2882" s="4"/>
      <c r="F2882" s="4"/>
      <c r="G2882" s="4"/>
      <c r="H2882" s="4"/>
      <c r="I2882" s="4"/>
      <c r="J2882" s="4"/>
      <c r="K2882" s="4"/>
      <c r="L2882" s="4"/>
      <c r="M2882" s="4"/>
      <c r="N2882" s="4"/>
      <c r="O2882" s="4"/>
      <c r="P2882" s="4"/>
      <c r="Q2882" s="4"/>
      <c r="R2882" s="4"/>
      <c r="S2882" s="4"/>
      <c r="T2882" s="4"/>
      <c r="U2882" s="4"/>
      <c r="V2882" s="4"/>
      <c r="W2882" s="4"/>
      <c r="X2882" s="4"/>
      <c r="Y2882" s="4"/>
      <c r="Z2882" s="4"/>
      <c r="AA2882" s="4"/>
      <c r="AB2882" s="5"/>
    </row>
    <row r="2883" spans="1:28" x14ac:dyDescent="0.35">
      <c r="A2883" s="3"/>
      <c r="B2883" s="4"/>
      <c r="C2883" s="4"/>
      <c r="D2883" s="4"/>
      <c r="E2883" s="4"/>
      <c r="F2883" s="4"/>
      <c r="G2883" s="4"/>
      <c r="H2883" s="4"/>
      <c r="I2883" s="4"/>
      <c r="J2883" s="4"/>
      <c r="K2883" s="4"/>
      <c r="L2883" s="4"/>
      <c r="M2883" s="4"/>
      <c r="N2883" s="4"/>
      <c r="O2883" s="4"/>
      <c r="P2883" s="4"/>
      <c r="Q2883" s="4"/>
      <c r="R2883" s="4"/>
      <c r="S2883" s="4"/>
      <c r="T2883" s="4"/>
      <c r="U2883" s="4"/>
      <c r="V2883" s="4"/>
      <c r="W2883" s="4"/>
      <c r="X2883" s="4"/>
      <c r="Y2883" s="4"/>
      <c r="Z2883" s="4"/>
      <c r="AA2883" s="4"/>
      <c r="AB2883" s="5"/>
    </row>
    <row r="2884" spans="1:28" x14ac:dyDescent="0.35">
      <c r="A2884" s="3"/>
      <c r="B2884" s="4"/>
      <c r="C2884" s="4"/>
      <c r="D2884" s="4"/>
      <c r="E2884" s="4"/>
      <c r="F2884" s="4"/>
      <c r="G2884" s="4"/>
      <c r="H2884" s="4"/>
      <c r="I2884" s="4"/>
      <c r="J2884" s="4"/>
      <c r="K2884" s="4"/>
      <c r="L2884" s="4"/>
      <c r="M2884" s="4"/>
      <c r="N2884" s="4"/>
      <c r="O2884" s="4"/>
      <c r="P2884" s="4"/>
      <c r="Q2884" s="4"/>
      <c r="R2884" s="4"/>
      <c r="S2884" s="4"/>
      <c r="T2884" s="4"/>
      <c r="U2884" s="4"/>
      <c r="V2884" s="4"/>
      <c r="W2884" s="4"/>
      <c r="X2884" s="4"/>
      <c r="Y2884" s="4"/>
      <c r="Z2884" s="4"/>
      <c r="AA2884" s="4"/>
      <c r="AB2884" s="5"/>
    </row>
    <row r="2885" spans="1:28" x14ac:dyDescent="0.35">
      <c r="A2885" s="3"/>
      <c r="B2885" s="4"/>
      <c r="C2885" s="4"/>
      <c r="D2885" s="4"/>
      <c r="E2885" s="4"/>
      <c r="F2885" s="4"/>
      <c r="G2885" s="4"/>
      <c r="H2885" s="4"/>
      <c r="I2885" s="4"/>
      <c r="J2885" s="4"/>
      <c r="K2885" s="4"/>
      <c r="L2885" s="4"/>
      <c r="M2885" s="4"/>
      <c r="N2885" s="4"/>
      <c r="O2885" s="4"/>
      <c r="P2885" s="4"/>
      <c r="Q2885" s="4"/>
      <c r="R2885" s="4"/>
      <c r="S2885" s="4"/>
      <c r="T2885" s="4"/>
      <c r="U2885" s="4"/>
      <c r="V2885" s="4"/>
      <c r="W2885" s="4"/>
      <c r="X2885" s="4"/>
      <c r="Y2885" s="4"/>
      <c r="Z2885" s="4"/>
      <c r="AA2885" s="4"/>
      <c r="AB2885" s="5"/>
    </row>
    <row r="2886" spans="1:28" x14ac:dyDescent="0.35">
      <c r="A2886" s="3"/>
      <c r="B2886" s="4"/>
      <c r="C2886" s="4"/>
      <c r="D2886" s="4"/>
      <c r="E2886" s="4"/>
      <c r="F2886" s="4"/>
      <c r="G2886" s="4"/>
      <c r="H2886" s="4"/>
      <c r="I2886" s="4"/>
      <c r="J2886" s="4"/>
      <c r="K2886" s="4"/>
      <c r="L2886" s="4"/>
      <c r="M2886" s="4"/>
      <c r="N2886" s="4"/>
      <c r="O2886" s="4"/>
      <c r="P2886" s="4"/>
      <c r="Q2886" s="4"/>
      <c r="R2886" s="4"/>
      <c r="S2886" s="4"/>
      <c r="T2886" s="4"/>
      <c r="U2886" s="4"/>
      <c r="V2886" s="4"/>
      <c r="W2886" s="4"/>
      <c r="X2886" s="4"/>
      <c r="Y2886" s="4"/>
      <c r="Z2886" s="4"/>
      <c r="AA2886" s="4"/>
      <c r="AB2886" s="5"/>
    </row>
    <row r="2887" spans="1:28" x14ac:dyDescent="0.35">
      <c r="A2887" s="3"/>
      <c r="B2887" s="4"/>
      <c r="C2887" s="4"/>
      <c r="D2887" s="4"/>
      <c r="E2887" s="4"/>
      <c r="F2887" s="4"/>
      <c r="G2887" s="4"/>
      <c r="H2887" s="4"/>
      <c r="I2887" s="4"/>
      <c r="J2887" s="4"/>
      <c r="K2887" s="4"/>
      <c r="L2887" s="4"/>
      <c r="M2887" s="4"/>
      <c r="N2887" s="4"/>
      <c r="O2887" s="4"/>
      <c r="P2887" s="4"/>
      <c r="Q2887" s="4"/>
      <c r="R2887" s="4"/>
      <c r="S2887" s="4"/>
      <c r="T2887" s="4"/>
      <c r="U2887" s="4"/>
      <c r="V2887" s="4"/>
      <c r="W2887" s="4"/>
      <c r="X2887" s="4"/>
      <c r="Y2887" s="4"/>
      <c r="Z2887" s="4"/>
      <c r="AA2887" s="4"/>
      <c r="AB2887" s="5"/>
    </row>
    <row r="2888" spans="1:28" x14ac:dyDescent="0.35">
      <c r="A2888" s="3"/>
      <c r="B2888" s="4"/>
      <c r="C2888" s="4"/>
      <c r="D2888" s="4"/>
      <c r="E2888" s="4"/>
      <c r="F2888" s="4"/>
      <c r="G2888" s="4"/>
      <c r="H2888" s="4"/>
      <c r="I2888" s="4"/>
      <c r="J2888" s="4"/>
      <c r="K2888" s="4"/>
      <c r="L2888" s="4"/>
      <c r="M2888" s="4"/>
      <c r="N2888" s="4"/>
      <c r="O2888" s="4"/>
      <c r="P2888" s="4"/>
      <c r="Q2888" s="4"/>
      <c r="R2888" s="4"/>
      <c r="S2888" s="4"/>
      <c r="T2888" s="4"/>
      <c r="U2888" s="4"/>
      <c r="V2888" s="4"/>
      <c r="W2888" s="4"/>
      <c r="X2888" s="4"/>
      <c r="Y2888" s="4"/>
      <c r="Z2888" s="4"/>
      <c r="AA2888" s="4"/>
      <c r="AB2888" s="5"/>
    </row>
    <row r="2889" spans="1:28" x14ac:dyDescent="0.35">
      <c r="A2889" s="3"/>
      <c r="B2889" s="4"/>
      <c r="C2889" s="4"/>
      <c r="D2889" s="4"/>
      <c r="E2889" s="4"/>
      <c r="F2889" s="4"/>
      <c r="G2889" s="4"/>
      <c r="H2889" s="4"/>
      <c r="I2889" s="4"/>
      <c r="J2889" s="4"/>
      <c r="K2889" s="4"/>
      <c r="L2889" s="4"/>
      <c r="M2889" s="4"/>
      <c r="N2889" s="4"/>
      <c r="O2889" s="4"/>
      <c r="P2889" s="4"/>
      <c r="Q2889" s="4"/>
      <c r="R2889" s="4"/>
      <c r="S2889" s="4"/>
      <c r="T2889" s="4"/>
      <c r="U2889" s="4"/>
      <c r="V2889" s="4"/>
      <c r="W2889" s="4"/>
      <c r="X2889" s="4"/>
      <c r="Y2889" s="4"/>
      <c r="Z2889" s="4"/>
      <c r="AA2889" s="4"/>
      <c r="AB2889" s="5"/>
    </row>
    <row r="2890" spans="1:28" x14ac:dyDescent="0.35">
      <c r="A2890" s="3"/>
      <c r="B2890" s="4"/>
      <c r="C2890" s="4"/>
      <c r="D2890" s="4"/>
      <c r="E2890" s="4"/>
      <c r="F2890" s="4"/>
      <c r="G2890" s="4"/>
      <c r="H2890" s="4"/>
      <c r="I2890" s="4"/>
      <c r="J2890" s="4"/>
      <c r="K2890" s="4"/>
      <c r="L2890" s="4"/>
      <c r="M2890" s="4"/>
      <c r="N2890" s="4"/>
      <c r="O2890" s="4"/>
      <c r="P2890" s="4"/>
      <c r="Q2890" s="4"/>
      <c r="R2890" s="4"/>
      <c r="S2890" s="4"/>
      <c r="T2890" s="4"/>
      <c r="U2890" s="4"/>
      <c r="V2890" s="4"/>
      <c r="W2890" s="4"/>
      <c r="X2890" s="4"/>
      <c r="Y2890" s="4"/>
      <c r="Z2890" s="4"/>
      <c r="AA2890" s="4"/>
      <c r="AB2890" s="5"/>
    </row>
    <row r="2891" spans="1:28" x14ac:dyDescent="0.35">
      <c r="A2891" s="3"/>
      <c r="B2891" s="4"/>
      <c r="C2891" s="4"/>
      <c r="D2891" s="4"/>
      <c r="E2891" s="4"/>
      <c r="F2891" s="4"/>
      <c r="G2891" s="4"/>
      <c r="H2891" s="4"/>
      <c r="I2891" s="4"/>
      <c r="J2891" s="4"/>
      <c r="K2891" s="4"/>
      <c r="L2891" s="4"/>
      <c r="M2891" s="4"/>
      <c r="N2891" s="4"/>
      <c r="O2891" s="4"/>
      <c r="P2891" s="4"/>
      <c r="Q2891" s="4"/>
      <c r="R2891" s="4"/>
      <c r="S2891" s="4"/>
      <c r="T2891" s="4"/>
      <c r="U2891" s="4"/>
      <c r="V2891" s="4"/>
      <c r="W2891" s="4"/>
      <c r="X2891" s="4"/>
      <c r="Y2891" s="4"/>
      <c r="Z2891" s="4"/>
      <c r="AA2891" s="4"/>
      <c r="AB2891" s="5"/>
    </row>
    <row r="2892" spans="1:28" x14ac:dyDescent="0.35">
      <c r="A2892" s="3"/>
      <c r="B2892" s="4"/>
      <c r="C2892" s="4"/>
      <c r="D2892" s="4"/>
      <c r="E2892" s="4"/>
      <c r="F2892" s="4"/>
      <c r="G2892" s="4"/>
      <c r="H2892" s="4"/>
      <c r="I2892" s="4"/>
      <c r="J2892" s="4"/>
      <c r="K2892" s="4"/>
      <c r="L2892" s="4"/>
      <c r="M2892" s="4"/>
      <c r="N2892" s="4"/>
      <c r="O2892" s="4"/>
      <c r="P2892" s="4"/>
      <c r="Q2892" s="4"/>
      <c r="R2892" s="4"/>
      <c r="S2892" s="4"/>
      <c r="T2892" s="4"/>
      <c r="U2892" s="4"/>
      <c r="V2892" s="4"/>
      <c r="W2892" s="4"/>
      <c r="X2892" s="4"/>
      <c r="Y2892" s="4"/>
      <c r="Z2892" s="4"/>
      <c r="AA2892" s="4"/>
      <c r="AB2892" s="5"/>
    </row>
    <row r="2893" spans="1:28" x14ac:dyDescent="0.35">
      <c r="A2893" s="3"/>
      <c r="B2893" s="4"/>
      <c r="C2893" s="4"/>
      <c r="D2893" s="4"/>
      <c r="E2893" s="4"/>
      <c r="F2893" s="4"/>
      <c r="G2893" s="4"/>
      <c r="H2893" s="4"/>
      <c r="I2893" s="4"/>
      <c r="J2893" s="4"/>
      <c r="K2893" s="4"/>
      <c r="L2893" s="4"/>
      <c r="M2893" s="4"/>
      <c r="N2893" s="4"/>
      <c r="O2893" s="4"/>
      <c r="P2893" s="4"/>
      <c r="Q2893" s="4"/>
      <c r="R2893" s="4"/>
      <c r="S2893" s="4"/>
      <c r="T2893" s="4"/>
      <c r="U2893" s="4"/>
      <c r="V2893" s="4"/>
      <c r="W2893" s="4"/>
      <c r="X2893" s="4"/>
      <c r="Y2893" s="4"/>
      <c r="Z2893" s="4"/>
      <c r="AA2893" s="4"/>
      <c r="AB2893" s="5"/>
    </row>
    <row r="2894" spans="1:28" x14ac:dyDescent="0.35">
      <c r="A2894" s="3"/>
      <c r="B2894" s="4"/>
      <c r="C2894" s="4"/>
      <c r="D2894" s="4"/>
      <c r="E2894" s="4"/>
      <c r="F2894" s="4"/>
      <c r="G2894" s="4"/>
      <c r="H2894" s="4"/>
      <c r="I2894" s="4"/>
      <c r="J2894" s="4"/>
      <c r="K2894" s="4"/>
      <c r="L2894" s="4"/>
      <c r="M2894" s="4"/>
      <c r="N2894" s="4"/>
      <c r="O2894" s="4"/>
      <c r="P2894" s="4"/>
      <c r="Q2894" s="4"/>
      <c r="R2894" s="4"/>
      <c r="S2894" s="4"/>
      <c r="T2894" s="4"/>
      <c r="U2894" s="4"/>
      <c r="V2894" s="4"/>
      <c r="W2894" s="4"/>
      <c r="X2894" s="4"/>
      <c r="Y2894" s="4"/>
      <c r="Z2894" s="4"/>
      <c r="AA2894" s="4"/>
      <c r="AB2894" s="5"/>
    </row>
    <row r="2895" spans="1:28" x14ac:dyDescent="0.35">
      <c r="A2895" s="3"/>
      <c r="B2895" s="4"/>
      <c r="C2895" s="4"/>
      <c r="D2895" s="4"/>
      <c r="E2895" s="4"/>
      <c r="F2895" s="4"/>
      <c r="G2895" s="4"/>
      <c r="H2895" s="4"/>
      <c r="I2895" s="4"/>
      <c r="J2895" s="4"/>
      <c r="K2895" s="4"/>
      <c r="L2895" s="4"/>
      <c r="M2895" s="4"/>
      <c r="N2895" s="4"/>
      <c r="O2895" s="4"/>
      <c r="P2895" s="4"/>
      <c r="Q2895" s="4"/>
      <c r="R2895" s="4"/>
      <c r="S2895" s="4"/>
      <c r="T2895" s="4"/>
      <c r="U2895" s="4"/>
      <c r="V2895" s="4"/>
      <c r="W2895" s="4"/>
      <c r="X2895" s="4"/>
      <c r="Y2895" s="4"/>
      <c r="Z2895" s="4"/>
      <c r="AA2895" s="4"/>
      <c r="AB2895" s="5"/>
    </row>
    <row r="2896" spans="1:28" x14ac:dyDescent="0.35">
      <c r="A2896" s="3"/>
      <c r="B2896" s="4"/>
      <c r="C2896" s="4"/>
      <c r="D2896" s="4"/>
      <c r="E2896" s="4"/>
      <c r="F2896" s="4"/>
      <c r="G2896" s="4"/>
      <c r="H2896" s="4"/>
      <c r="I2896" s="4"/>
      <c r="J2896" s="4"/>
      <c r="K2896" s="4"/>
      <c r="L2896" s="4"/>
      <c r="M2896" s="4"/>
      <c r="N2896" s="4"/>
      <c r="O2896" s="4"/>
      <c r="P2896" s="4"/>
      <c r="Q2896" s="4"/>
      <c r="R2896" s="4"/>
      <c r="S2896" s="4"/>
      <c r="T2896" s="4"/>
      <c r="U2896" s="4"/>
      <c r="V2896" s="4"/>
      <c r="W2896" s="4"/>
      <c r="X2896" s="4"/>
      <c r="Y2896" s="4"/>
      <c r="Z2896" s="4"/>
      <c r="AA2896" s="4"/>
      <c r="AB2896" s="5"/>
    </row>
    <row r="2897" spans="1:28" x14ac:dyDescent="0.35">
      <c r="A2897" s="3"/>
      <c r="B2897" s="4"/>
      <c r="C2897" s="4"/>
      <c r="D2897" s="4"/>
      <c r="E2897" s="4"/>
      <c r="F2897" s="4"/>
      <c r="G2897" s="4"/>
      <c r="H2897" s="4"/>
      <c r="I2897" s="4"/>
      <c r="J2897" s="4"/>
      <c r="K2897" s="4"/>
      <c r="L2897" s="4"/>
      <c r="M2897" s="4"/>
      <c r="N2897" s="4"/>
      <c r="O2897" s="4"/>
      <c r="P2897" s="4"/>
      <c r="Q2897" s="4"/>
      <c r="R2897" s="4"/>
      <c r="S2897" s="4"/>
      <c r="T2897" s="4"/>
      <c r="U2897" s="4"/>
      <c r="V2897" s="4"/>
      <c r="W2897" s="4"/>
      <c r="X2897" s="4"/>
      <c r="Y2897" s="4"/>
      <c r="Z2897" s="4"/>
      <c r="AA2897" s="4"/>
      <c r="AB2897" s="5"/>
    </row>
    <row r="2898" spans="1:28" x14ac:dyDescent="0.35">
      <c r="A2898" s="3"/>
      <c r="B2898" s="4"/>
      <c r="C2898" s="4"/>
      <c r="D2898" s="4"/>
      <c r="E2898" s="4"/>
      <c r="F2898" s="4"/>
      <c r="G2898" s="4"/>
      <c r="H2898" s="4"/>
      <c r="I2898" s="4"/>
      <c r="J2898" s="4"/>
      <c r="K2898" s="4"/>
      <c r="L2898" s="4"/>
      <c r="M2898" s="4"/>
      <c r="N2898" s="4"/>
      <c r="O2898" s="4"/>
      <c r="P2898" s="4"/>
      <c r="Q2898" s="4"/>
      <c r="R2898" s="4"/>
      <c r="S2898" s="4"/>
      <c r="T2898" s="4"/>
      <c r="U2898" s="4"/>
      <c r="V2898" s="4"/>
      <c r="W2898" s="4"/>
      <c r="X2898" s="4"/>
      <c r="Y2898" s="4"/>
      <c r="Z2898" s="4"/>
      <c r="AA2898" s="4"/>
      <c r="AB2898" s="5"/>
    </row>
    <row r="2899" spans="1:28" x14ac:dyDescent="0.35">
      <c r="A2899" s="3"/>
      <c r="B2899" s="4"/>
      <c r="C2899" s="4"/>
      <c r="D2899" s="4"/>
      <c r="E2899" s="4"/>
      <c r="F2899" s="4"/>
      <c r="G2899" s="4"/>
      <c r="H2899" s="4"/>
      <c r="I2899" s="4"/>
      <c r="J2899" s="4"/>
      <c r="K2899" s="4"/>
      <c r="L2899" s="4"/>
      <c r="M2899" s="4"/>
      <c r="N2899" s="4"/>
      <c r="O2899" s="4"/>
      <c r="P2899" s="4"/>
      <c r="Q2899" s="4"/>
      <c r="R2899" s="4"/>
      <c r="S2899" s="4"/>
      <c r="T2899" s="4"/>
      <c r="U2899" s="4"/>
      <c r="V2899" s="4"/>
      <c r="W2899" s="4"/>
      <c r="X2899" s="4"/>
      <c r="Y2899" s="4"/>
      <c r="Z2899" s="4"/>
      <c r="AA2899" s="4"/>
      <c r="AB2899" s="5"/>
    </row>
    <row r="2900" spans="1:28" x14ac:dyDescent="0.35">
      <c r="A2900" s="3"/>
      <c r="B2900" s="4"/>
      <c r="C2900" s="4"/>
      <c r="D2900" s="4"/>
      <c r="E2900" s="4"/>
      <c r="F2900" s="4"/>
      <c r="G2900" s="4"/>
      <c r="H2900" s="4"/>
      <c r="I2900" s="4"/>
      <c r="J2900" s="4"/>
      <c r="K2900" s="4"/>
      <c r="L2900" s="4"/>
      <c r="M2900" s="4"/>
      <c r="N2900" s="4"/>
      <c r="O2900" s="4"/>
      <c r="P2900" s="4"/>
      <c r="Q2900" s="4"/>
      <c r="R2900" s="4"/>
      <c r="S2900" s="4"/>
      <c r="T2900" s="4"/>
      <c r="U2900" s="4"/>
      <c r="V2900" s="4"/>
      <c r="W2900" s="4"/>
      <c r="X2900" s="4"/>
      <c r="Y2900" s="4"/>
      <c r="Z2900" s="4"/>
      <c r="AA2900" s="4"/>
      <c r="AB2900" s="5"/>
    </row>
    <row r="2901" spans="1:28" x14ac:dyDescent="0.35">
      <c r="A2901" s="3"/>
      <c r="B2901" s="4"/>
      <c r="C2901" s="4"/>
      <c r="D2901" s="4"/>
      <c r="E2901" s="4"/>
      <c r="F2901" s="4"/>
      <c r="G2901" s="4"/>
      <c r="H2901" s="4"/>
      <c r="I2901" s="4"/>
      <c r="J2901" s="4"/>
      <c r="K2901" s="4"/>
      <c r="L2901" s="4"/>
      <c r="M2901" s="4"/>
      <c r="N2901" s="4"/>
      <c r="O2901" s="4"/>
      <c r="P2901" s="4"/>
      <c r="Q2901" s="4"/>
      <c r="R2901" s="4"/>
      <c r="S2901" s="4"/>
      <c r="T2901" s="4"/>
      <c r="U2901" s="4"/>
      <c r="V2901" s="4"/>
      <c r="W2901" s="4"/>
      <c r="X2901" s="4"/>
      <c r="Y2901" s="4"/>
      <c r="Z2901" s="4"/>
      <c r="AA2901" s="4"/>
      <c r="AB2901" s="5"/>
    </row>
    <row r="2902" spans="1:28" x14ac:dyDescent="0.35">
      <c r="A2902" s="3"/>
      <c r="B2902" s="4"/>
      <c r="C2902" s="4"/>
      <c r="D2902" s="4"/>
      <c r="E2902" s="4"/>
      <c r="F2902" s="4"/>
      <c r="G2902" s="4"/>
      <c r="H2902" s="4"/>
      <c r="I2902" s="4"/>
      <c r="J2902" s="4"/>
      <c r="K2902" s="4"/>
      <c r="L2902" s="4"/>
      <c r="M2902" s="4"/>
      <c r="N2902" s="4"/>
      <c r="O2902" s="4"/>
      <c r="P2902" s="4"/>
      <c r="Q2902" s="4"/>
      <c r="R2902" s="4"/>
      <c r="S2902" s="4"/>
      <c r="T2902" s="4"/>
      <c r="U2902" s="4"/>
      <c r="V2902" s="4"/>
      <c r="W2902" s="4"/>
      <c r="X2902" s="4"/>
      <c r="Y2902" s="4"/>
      <c r="Z2902" s="4"/>
      <c r="AA2902" s="4"/>
      <c r="AB2902" s="5"/>
    </row>
    <row r="2903" spans="1:28" x14ac:dyDescent="0.35">
      <c r="A2903" s="3"/>
      <c r="B2903" s="4"/>
      <c r="C2903" s="4"/>
      <c r="D2903" s="4"/>
      <c r="E2903" s="4"/>
      <c r="F2903" s="4"/>
      <c r="G2903" s="4"/>
      <c r="H2903" s="4"/>
      <c r="I2903" s="4"/>
      <c r="J2903" s="4"/>
      <c r="K2903" s="4"/>
      <c r="L2903" s="4"/>
      <c r="M2903" s="4"/>
      <c r="N2903" s="4"/>
      <c r="O2903" s="4"/>
      <c r="P2903" s="4"/>
      <c r="Q2903" s="4"/>
      <c r="R2903" s="4"/>
      <c r="S2903" s="4"/>
      <c r="T2903" s="4"/>
      <c r="U2903" s="4"/>
      <c r="V2903" s="4"/>
      <c r="W2903" s="4"/>
      <c r="X2903" s="4"/>
      <c r="Y2903" s="4"/>
      <c r="Z2903" s="4"/>
      <c r="AA2903" s="4"/>
      <c r="AB2903" s="5"/>
    </row>
    <row r="2904" spans="1:28" x14ac:dyDescent="0.35">
      <c r="A2904" s="3"/>
      <c r="B2904" s="4"/>
      <c r="C2904" s="4"/>
      <c r="D2904" s="4"/>
      <c r="E2904" s="4"/>
      <c r="F2904" s="4"/>
      <c r="G2904" s="4"/>
      <c r="H2904" s="4"/>
      <c r="I2904" s="4"/>
      <c r="J2904" s="4"/>
      <c r="K2904" s="4"/>
      <c r="L2904" s="4"/>
      <c r="M2904" s="4"/>
      <c r="N2904" s="4"/>
      <c r="O2904" s="4"/>
      <c r="P2904" s="4"/>
      <c r="Q2904" s="4"/>
      <c r="R2904" s="4"/>
      <c r="S2904" s="4"/>
      <c r="T2904" s="4"/>
      <c r="U2904" s="4"/>
      <c r="V2904" s="4"/>
      <c r="W2904" s="4"/>
      <c r="X2904" s="4"/>
      <c r="Y2904" s="4"/>
      <c r="Z2904" s="4"/>
      <c r="AA2904" s="4"/>
      <c r="AB2904" s="5"/>
    </row>
    <row r="2905" spans="1:28" x14ac:dyDescent="0.35">
      <c r="A2905" s="3"/>
      <c r="B2905" s="4"/>
      <c r="C2905" s="4"/>
      <c r="D2905" s="4"/>
      <c r="E2905" s="4"/>
      <c r="F2905" s="4"/>
      <c r="G2905" s="4"/>
      <c r="H2905" s="4"/>
      <c r="I2905" s="4"/>
      <c r="J2905" s="4"/>
      <c r="K2905" s="4"/>
      <c r="L2905" s="4"/>
      <c r="M2905" s="4"/>
      <c r="N2905" s="4"/>
      <c r="O2905" s="4"/>
      <c r="P2905" s="4"/>
      <c r="Q2905" s="4"/>
      <c r="R2905" s="4"/>
      <c r="S2905" s="4"/>
      <c r="T2905" s="4"/>
      <c r="U2905" s="4"/>
      <c r="V2905" s="4"/>
      <c r="W2905" s="4"/>
      <c r="X2905" s="4"/>
      <c r="Y2905" s="4"/>
      <c r="Z2905" s="4"/>
      <c r="AA2905" s="4"/>
      <c r="AB2905" s="5"/>
    </row>
    <row r="2906" spans="1:28" x14ac:dyDescent="0.35">
      <c r="A2906" s="3"/>
      <c r="B2906" s="4"/>
      <c r="C2906" s="4"/>
      <c r="D2906" s="4"/>
      <c r="E2906" s="4"/>
      <c r="F2906" s="4"/>
      <c r="G2906" s="4"/>
      <c r="H2906" s="4"/>
      <c r="I2906" s="4"/>
      <c r="J2906" s="4"/>
      <c r="K2906" s="4"/>
      <c r="L2906" s="4"/>
      <c r="M2906" s="4"/>
      <c r="N2906" s="4"/>
      <c r="O2906" s="4"/>
      <c r="P2906" s="4"/>
      <c r="Q2906" s="4"/>
      <c r="R2906" s="4"/>
      <c r="S2906" s="4"/>
      <c r="T2906" s="4"/>
      <c r="U2906" s="4"/>
      <c r="V2906" s="4"/>
      <c r="W2906" s="4"/>
      <c r="X2906" s="4"/>
      <c r="Y2906" s="4"/>
      <c r="Z2906" s="4"/>
      <c r="AA2906" s="4"/>
      <c r="AB2906" s="5"/>
    </row>
    <row r="2907" spans="1:28" x14ac:dyDescent="0.35">
      <c r="A2907" s="3"/>
      <c r="B2907" s="4"/>
      <c r="C2907" s="4"/>
      <c r="D2907" s="4"/>
      <c r="E2907" s="4"/>
      <c r="F2907" s="4"/>
      <c r="G2907" s="4"/>
      <c r="H2907" s="4"/>
      <c r="I2907" s="4"/>
      <c r="J2907" s="4"/>
      <c r="K2907" s="4"/>
      <c r="L2907" s="4"/>
      <c r="M2907" s="4"/>
      <c r="N2907" s="4"/>
      <c r="O2907" s="4"/>
      <c r="P2907" s="4"/>
      <c r="Q2907" s="4"/>
      <c r="R2907" s="4"/>
      <c r="S2907" s="4"/>
      <c r="T2907" s="4"/>
      <c r="U2907" s="4"/>
      <c r="V2907" s="4"/>
      <c r="W2907" s="4"/>
      <c r="X2907" s="4"/>
      <c r="Y2907" s="4"/>
      <c r="Z2907" s="4"/>
      <c r="AA2907" s="4"/>
      <c r="AB2907" s="5"/>
    </row>
    <row r="2908" spans="1:28" x14ac:dyDescent="0.35">
      <c r="A2908" s="3"/>
      <c r="B2908" s="4"/>
      <c r="C2908" s="4"/>
      <c r="D2908" s="4"/>
      <c r="E2908" s="4"/>
      <c r="F2908" s="4"/>
      <c r="G2908" s="4"/>
      <c r="H2908" s="4"/>
      <c r="I2908" s="4"/>
      <c r="J2908" s="4"/>
      <c r="K2908" s="4"/>
      <c r="L2908" s="4"/>
      <c r="M2908" s="4"/>
      <c r="N2908" s="4"/>
      <c r="O2908" s="4"/>
      <c r="P2908" s="4"/>
      <c r="Q2908" s="4"/>
      <c r="R2908" s="4"/>
      <c r="S2908" s="4"/>
      <c r="T2908" s="4"/>
      <c r="U2908" s="4"/>
      <c r="V2908" s="4"/>
      <c r="W2908" s="4"/>
      <c r="X2908" s="4"/>
      <c r="Y2908" s="4"/>
      <c r="Z2908" s="4"/>
      <c r="AA2908" s="4"/>
      <c r="AB2908" s="5"/>
    </row>
    <row r="2909" spans="1:28" x14ac:dyDescent="0.35">
      <c r="A2909" s="3"/>
      <c r="B2909" s="4"/>
      <c r="C2909" s="4"/>
      <c r="D2909" s="4"/>
      <c r="E2909" s="4"/>
      <c r="F2909" s="4"/>
      <c r="G2909" s="4"/>
      <c r="H2909" s="4"/>
      <c r="I2909" s="4"/>
      <c r="J2909" s="4"/>
      <c r="K2909" s="4"/>
      <c r="L2909" s="4"/>
      <c r="M2909" s="4"/>
      <c r="N2909" s="4"/>
      <c r="O2909" s="4"/>
      <c r="P2909" s="4"/>
      <c r="Q2909" s="4"/>
      <c r="R2909" s="4"/>
      <c r="S2909" s="4"/>
      <c r="T2909" s="4"/>
      <c r="U2909" s="4"/>
      <c r="V2909" s="4"/>
      <c r="W2909" s="4"/>
      <c r="X2909" s="4"/>
      <c r="Y2909" s="4"/>
      <c r="Z2909" s="4"/>
      <c r="AA2909" s="4"/>
      <c r="AB2909" s="5"/>
    </row>
    <row r="2910" spans="1:28" x14ac:dyDescent="0.35">
      <c r="A2910" s="3"/>
      <c r="B2910" s="4"/>
      <c r="C2910" s="4"/>
      <c r="D2910" s="4"/>
      <c r="E2910" s="4"/>
      <c r="F2910" s="4"/>
      <c r="G2910" s="4"/>
      <c r="H2910" s="4"/>
      <c r="I2910" s="4"/>
      <c r="J2910" s="4"/>
      <c r="K2910" s="4"/>
      <c r="L2910" s="4"/>
      <c r="M2910" s="4"/>
      <c r="N2910" s="4"/>
      <c r="O2910" s="4"/>
      <c r="P2910" s="4"/>
      <c r="Q2910" s="4"/>
      <c r="R2910" s="4"/>
      <c r="S2910" s="4"/>
      <c r="T2910" s="4"/>
      <c r="U2910" s="4"/>
      <c r="V2910" s="4"/>
      <c r="W2910" s="4"/>
      <c r="X2910" s="4"/>
      <c r="Y2910" s="4"/>
      <c r="Z2910" s="4"/>
      <c r="AA2910" s="4"/>
      <c r="AB2910" s="5"/>
    </row>
    <row r="2911" spans="1:28" x14ac:dyDescent="0.35">
      <c r="A2911" s="3"/>
      <c r="B2911" s="4"/>
      <c r="C2911" s="4"/>
      <c r="D2911" s="4"/>
      <c r="E2911" s="4"/>
      <c r="F2911" s="4"/>
      <c r="G2911" s="4"/>
      <c r="H2911" s="4"/>
      <c r="I2911" s="4"/>
      <c r="J2911" s="4"/>
      <c r="K2911" s="4"/>
      <c r="L2911" s="4"/>
      <c r="M2911" s="4"/>
      <c r="N2911" s="4"/>
      <c r="O2911" s="4"/>
      <c r="P2911" s="4"/>
      <c r="Q2911" s="4"/>
      <c r="R2911" s="4"/>
      <c r="S2911" s="4"/>
      <c r="T2911" s="4"/>
      <c r="U2911" s="4"/>
      <c r="V2911" s="4"/>
      <c r="W2911" s="4"/>
      <c r="X2911" s="4"/>
      <c r="Y2911" s="4"/>
      <c r="Z2911" s="4"/>
      <c r="AA2911" s="4"/>
      <c r="AB2911" s="5"/>
    </row>
    <row r="2912" spans="1:28" x14ac:dyDescent="0.35">
      <c r="A2912" s="3"/>
      <c r="B2912" s="4"/>
      <c r="C2912" s="4"/>
      <c r="D2912" s="4"/>
      <c r="E2912" s="4"/>
      <c r="F2912" s="4"/>
      <c r="G2912" s="4"/>
      <c r="H2912" s="4"/>
      <c r="I2912" s="4"/>
      <c r="J2912" s="4"/>
      <c r="K2912" s="4"/>
      <c r="L2912" s="4"/>
      <c r="M2912" s="4"/>
      <c r="N2912" s="4"/>
      <c r="O2912" s="4"/>
      <c r="P2912" s="4"/>
      <c r="Q2912" s="4"/>
      <c r="R2912" s="4"/>
      <c r="S2912" s="4"/>
      <c r="T2912" s="4"/>
      <c r="U2912" s="4"/>
      <c r="V2912" s="4"/>
      <c r="W2912" s="4"/>
      <c r="X2912" s="4"/>
      <c r="Y2912" s="4"/>
      <c r="Z2912" s="4"/>
      <c r="AA2912" s="4"/>
      <c r="AB2912" s="5"/>
    </row>
    <row r="2913" spans="1:28" x14ac:dyDescent="0.35">
      <c r="A2913" s="3"/>
      <c r="B2913" s="4"/>
      <c r="C2913" s="4"/>
      <c r="D2913" s="4"/>
      <c r="E2913" s="4"/>
      <c r="F2913" s="4"/>
      <c r="G2913" s="4"/>
      <c r="H2913" s="4"/>
      <c r="I2913" s="4"/>
      <c r="J2913" s="4"/>
      <c r="K2913" s="4"/>
      <c r="L2913" s="4"/>
      <c r="M2913" s="4"/>
      <c r="N2913" s="4"/>
      <c r="O2913" s="4"/>
      <c r="P2913" s="4"/>
      <c r="Q2913" s="4"/>
      <c r="R2913" s="4"/>
      <c r="S2913" s="4"/>
      <c r="T2913" s="4"/>
      <c r="U2913" s="4"/>
      <c r="V2913" s="4"/>
      <c r="W2913" s="4"/>
      <c r="X2913" s="4"/>
      <c r="Y2913" s="4"/>
      <c r="Z2913" s="4"/>
      <c r="AA2913" s="4"/>
      <c r="AB2913" s="5"/>
    </row>
    <row r="2914" spans="1:28" x14ac:dyDescent="0.35">
      <c r="A2914" s="3"/>
      <c r="B2914" s="4"/>
      <c r="C2914" s="4"/>
      <c r="D2914" s="4"/>
      <c r="E2914" s="4"/>
      <c r="F2914" s="4"/>
      <c r="G2914" s="4"/>
      <c r="H2914" s="4"/>
      <c r="I2914" s="4"/>
      <c r="J2914" s="4"/>
      <c r="K2914" s="4"/>
      <c r="L2914" s="4"/>
      <c r="M2914" s="4"/>
      <c r="N2914" s="4"/>
      <c r="O2914" s="4"/>
      <c r="P2914" s="4"/>
      <c r="Q2914" s="4"/>
      <c r="R2914" s="4"/>
      <c r="S2914" s="4"/>
      <c r="T2914" s="4"/>
      <c r="U2914" s="4"/>
      <c r="V2914" s="4"/>
      <c r="W2914" s="4"/>
      <c r="X2914" s="4"/>
      <c r="Y2914" s="4"/>
      <c r="Z2914" s="4"/>
      <c r="AA2914" s="4"/>
      <c r="AB2914" s="5"/>
    </row>
    <row r="2915" spans="1:28" x14ac:dyDescent="0.35">
      <c r="A2915" s="3"/>
      <c r="B2915" s="4"/>
      <c r="C2915" s="4"/>
      <c r="D2915" s="4"/>
      <c r="E2915" s="4"/>
      <c r="F2915" s="4"/>
      <c r="G2915" s="4"/>
      <c r="H2915" s="4"/>
      <c r="I2915" s="4"/>
      <c r="J2915" s="4"/>
      <c r="K2915" s="4"/>
      <c r="L2915" s="4"/>
      <c r="M2915" s="4"/>
      <c r="N2915" s="4"/>
      <c r="O2915" s="4"/>
      <c r="P2915" s="4"/>
      <c r="Q2915" s="4"/>
      <c r="R2915" s="4"/>
      <c r="S2915" s="4"/>
      <c r="T2915" s="4"/>
      <c r="U2915" s="4"/>
      <c r="V2915" s="4"/>
      <c r="W2915" s="4"/>
      <c r="X2915" s="4"/>
      <c r="Y2915" s="4"/>
      <c r="Z2915" s="4"/>
      <c r="AA2915" s="4"/>
      <c r="AB2915" s="5"/>
    </row>
    <row r="2916" spans="1:28" x14ac:dyDescent="0.35">
      <c r="A2916" s="3"/>
      <c r="B2916" s="4"/>
      <c r="C2916" s="4"/>
      <c r="D2916" s="4"/>
      <c r="E2916" s="4"/>
      <c r="F2916" s="4"/>
      <c r="G2916" s="4"/>
      <c r="H2916" s="4"/>
      <c r="I2916" s="4"/>
      <c r="J2916" s="4"/>
      <c r="K2916" s="4"/>
      <c r="L2916" s="4"/>
      <c r="M2916" s="4"/>
      <c r="N2916" s="4"/>
      <c r="O2916" s="4"/>
      <c r="P2916" s="4"/>
      <c r="Q2916" s="4"/>
      <c r="R2916" s="4"/>
      <c r="S2916" s="4"/>
      <c r="T2916" s="4"/>
      <c r="U2916" s="4"/>
      <c r="V2916" s="4"/>
      <c r="W2916" s="4"/>
      <c r="X2916" s="4"/>
      <c r="Y2916" s="4"/>
      <c r="Z2916" s="4"/>
      <c r="AA2916" s="4"/>
      <c r="AB2916" s="5"/>
    </row>
    <row r="2917" spans="1:28" x14ac:dyDescent="0.35">
      <c r="A2917" s="3"/>
      <c r="B2917" s="4"/>
      <c r="C2917" s="4"/>
      <c r="D2917" s="4"/>
      <c r="E2917" s="4"/>
      <c r="F2917" s="4"/>
      <c r="G2917" s="4"/>
      <c r="H2917" s="4"/>
      <c r="I2917" s="4"/>
      <c r="J2917" s="4"/>
      <c r="K2917" s="4"/>
      <c r="L2917" s="4"/>
      <c r="M2917" s="4"/>
      <c r="N2917" s="4"/>
      <c r="O2917" s="4"/>
      <c r="P2917" s="4"/>
      <c r="Q2917" s="4"/>
      <c r="R2917" s="4"/>
      <c r="S2917" s="4"/>
      <c r="T2917" s="4"/>
      <c r="U2917" s="4"/>
      <c r="V2917" s="4"/>
      <c r="W2917" s="4"/>
      <c r="X2917" s="4"/>
      <c r="Y2917" s="4"/>
      <c r="Z2917" s="4"/>
      <c r="AA2917" s="4"/>
      <c r="AB2917" s="5"/>
    </row>
    <row r="2918" spans="1:28" x14ac:dyDescent="0.35">
      <c r="A2918" s="3"/>
      <c r="B2918" s="4"/>
      <c r="C2918" s="4"/>
      <c r="D2918" s="4"/>
      <c r="E2918" s="4"/>
      <c r="F2918" s="4"/>
      <c r="G2918" s="4"/>
      <c r="H2918" s="4"/>
      <c r="I2918" s="4"/>
      <c r="J2918" s="4"/>
      <c r="K2918" s="4"/>
      <c r="L2918" s="4"/>
      <c r="M2918" s="4"/>
      <c r="N2918" s="4"/>
      <c r="O2918" s="4"/>
      <c r="P2918" s="4"/>
      <c r="Q2918" s="4"/>
      <c r="R2918" s="4"/>
      <c r="S2918" s="4"/>
      <c r="T2918" s="4"/>
      <c r="U2918" s="4"/>
      <c r="V2918" s="4"/>
      <c r="W2918" s="4"/>
      <c r="X2918" s="4"/>
      <c r="Y2918" s="4"/>
      <c r="Z2918" s="4"/>
      <c r="AA2918" s="4"/>
      <c r="AB2918" s="5"/>
    </row>
    <row r="2919" spans="1:28" x14ac:dyDescent="0.35">
      <c r="A2919" s="3"/>
      <c r="B2919" s="4"/>
      <c r="C2919" s="4"/>
      <c r="D2919" s="4"/>
      <c r="E2919" s="4"/>
      <c r="F2919" s="4"/>
      <c r="G2919" s="4"/>
      <c r="H2919" s="4"/>
      <c r="I2919" s="4"/>
      <c r="J2919" s="4"/>
      <c r="K2919" s="4"/>
      <c r="L2919" s="4"/>
      <c r="M2919" s="4"/>
      <c r="N2919" s="4"/>
      <c r="O2919" s="4"/>
      <c r="P2919" s="4"/>
      <c r="Q2919" s="4"/>
      <c r="R2919" s="4"/>
      <c r="S2919" s="4"/>
      <c r="T2919" s="4"/>
      <c r="U2919" s="4"/>
      <c r="V2919" s="4"/>
      <c r="W2919" s="4"/>
      <c r="X2919" s="4"/>
      <c r="Y2919" s="4"/>
      <c r="Z2919" s="4"/>
      <c r="AA2919" s="4"/>
      <c r="AB2919" s="5"/>
    </row>
    <row r="2920" spans="1:28" x14ac:dyDescent="0.35">
      <c r="A2920" s="3"/>
      <c r="B2920" s="4"/>
      <c r="C2920" s="4"/>
      <c r="D2920" s="4"/>
      <c r="E2920" s="4"/>
      <c r="F2920" s="4"/>
      <c r="G2920" s="4"/>
      <c r="H2920" s="4"/>
      <c r="I2920" s="4"/>
      <c r="J2920" s="4"/>
      <c r="K2920" s="4"/>
      <c r="L2920" s="4"/>
      <c r="M2920" s="4"/>
      <c r="N2920" s="4"/>
      <c r="O2920" s="4"/>
      <c r="P2920" s="4"/>
      <c r="Q2920" s="4"/>
      <c r="R2920" s="4"/>
      <c r="S2920" s="4"/>
      <c r="T2920" s="4"/>
      <c r="U2920" s="4"/>
      <c r="V2920" s="4"/>
      <c r="W2920" s="4"/>
      <c r="X2920" s="4"/>
      <c r="Y2920" s="4"/>
      <c r="Z2920" s="4"/>
      <c r="AA2920" s="4"/>
      <c r="AB2920" s="5"/>
    </row>
    <row r="2921" spans="1:28" x14ac:dyDescent="0.35">
      <c r="A2921" s="3"/>
      <c r="B2921" s="4"/>
      <c r="C2921" s="4"/>
      <c r="D2921" s="4"/>
      <c r="E2921" s="4"/>
      <c r="F2921" s="4"/>
      <c r="G2921" s="4"/>
      <c r="H2921" s="4"/>
      <c r="I2921" s="4"/>
      <c r="J2921" s="4"/>
      <c r="K2921" s="4"/>
      <c r="L2921" s="4"/>
      <c r="M2921" s="4"/>
      <c r="N2921" s="4"/>
      <c r="O2921" s="4"/>
      <c r="P2921" s="4"/>
      <c r="Q2921" s="4"/>
      <c r="R2921" s="4"/>
      <c r="S2921" s="4"/>
      <c r="T2921" s="4"/>
      <c r="U2921" s="4"/>
      <c r="V2921" s="4"/>
      <c r="W2921" s="4"/>
      <c r="X2921" s="4"/>
      <c r="Y2921" s="4"/>
      <c r="Z2921" s="4"/>
      <c r="AA2921" s="4"/>
      <c r="AB2921" s="5"/>
    </row>
    <row r="2922" spans="1:28" x14ac:dyDescent="0.35">
      <c r="A2922" s="3"/>
      <c r="B2922" s="4"/>
      <c r="C2922" s="4"/>
      <c r="D2922" s="4"/>
      <c r="E2922" s="4"/>
      <c r="F2922" s="4"/>
      <c r="G2922" s="4"/>
      <c r="H2922" s="4"/>
      <c r="I2922" s="4"/>
      <c r="J2922" s="4"/>
      <c r="K2922" s="4"/>
      <c r="L2922" s="4"/>
      <c r="M2922" s="4"/>
      <c r="N2922" s="4"/>
      <c r="O2922" s="4"/>
      <c r="P2922" s="4"/>
      <c r="Q2922" s="4"/>
      <c r="R2922" s="4"/>
      <c r="S2922" s="4"/>
      <c r="T2922" s="4"/>
      <c r="U2922" s="4"/>
      <c r="V2922" s="4"/>
      <c r="W2922" s="4"/>
      <c r="X2922" s="4"/>
      <c r="Y2922" s="4"/>
      <c r="Z2922" s="4"/>
      <c r="AA2922" s="4"/>
      <c r="AB2922" s="5"/>
    </row>
    <row r="2923" spans="1:28" x14ac:dyDescent="0.35">
      <c r="A2923" s="3"/>
      <c r="B2923" s="4"/>
      <c r="C2923" s="4"/>
      <c r="D2923" s="4"/>
      <c r="E2923" s="4"/>
      <c r="F2923" s="4"/>
      <c r="G2923" s="4"/>
      <c r="H2923" s="4"/>
      <c r="I2923" s="4"/>
      <c r="J2923" s="4"/>
      <c r="K2923" s="4"/>
      <c r="L2923" s="4"/>
      <c r="M2923" s="4"/>
      <c r="N2923" s="4"/>
      <c r="O2923" s="4"/>
      <c r="P2923" s="4"/>
      <c r="Q2923" s="4"/>
      <c r="R2923" s="4"/>
      <c r="S2923" s="4"/>
      <c r="T2923" s="4"/>
      <c r="U2923" s="4"/>
      <c r="V2923" s="4"/>
      <c r="W2923" s="4"/>
      <c r="X2923" s="4"/>
      <c r="Y2923" s="4"/>
      <c r="Z2923" s="4"/>
      <c r="AA2923" s="4"/>
      <c r="AB2923" s="5"/>
    </row>
    <row r="2924" spans="1:28" x14ac:dyDescent="0.35">
      <c r="A2924" s="3"/>
      <c r="B2924" s="4"/>
      <c r="C2924" s="4"/>
      <c r="D2924" s="4"/>
      <c r="E2924" s="4"/>
      <c r="F2924" s="4"/>
      <c r="G2924" s="4"/>
      <c r="H2924" s="4"/>
      <c r="I2924" s="4"/>
      <c r="J2924" s="4"/>
      <c r="K2924" s="4"/>
      <c r="L2924" s="4"/>
      <c r="M2924" s="4"/>
      <c r="N2924" s="4"/>
      <c r="O2924" s="4"/>
      <c r="P2924" s="4"/>
      <c r="Q2924" s="4"/>
      <c r="R2924" s="4"/>
      <c r="S2924" s="4"/>
      <c r="T2924" s="4"/>
      <c r="U2924" s="4"/>
      <c r="V2924" s="4"/>
      <c r="W2924" s="4"/>
      <c r="X2924" s="4"/>
      <c r="Y2924" s="4"/>
      <c r="Z2924" s="4"/>
      <c r="AA2924" s="4"/>
      <c r="AB2924" s="5"/>
    </row>
    <row r="2925" spans="1:28" x14ac:dyDescent="0.35">
      <c r="A2925" s="3"/>
      <c r="B2925" s="4"/>
      <c r="C2925" s="4"/>
      <c r="D2925" s="4"/>
      <c r="E2925" s="4"/>
      <c r="F2925" s="4"/>
      <c r="G2925" s="4"/>
      <c r="H2925" s="4"/>
      <c r="I2925" s="4"/>
      <c r="J2925" s="4"/>
      <c r="K2925" s="4"/>
      <c r="L2925" s="4"/>
      <c r="M2925" s="4"/>
      <c r="N2925" s="4"/>
      <c r="O2925" s="4"/>
      <c r="P2925" s="4"/>
      <c r="Q2925" s="4"/>
      <c r="R2925" s="4"/>
      <c r="S2925" s="4"/>
      <c r="T2925" s="4"/>
      <c r="U2925" s="4"/>
      <c r="V2925" s="4"/>
      <c r="W2925" s="4"/>
      <c r="X2925" s="4"/>
      <c r="Y2925" s="4"/>
      <c r="Z2925" s="4"/>
      <c r="AA2925" s="4"/>
      <c r="AB2925" s="5"/>
    </row>
    <row r="2926" spans="1:28" x14ac:dyDescent="0.35">
      <c r="A2926" s="3"/>
      <c r="B2926" s="4"/>
      <c r="C2926" s="4"/>
      <c r="D2926" s="4"/>
      <c r="E2926" s="4"/>
      <c r="F2926" s="4"/>
      <c r="G2926" s="4"/>
      <c r="H2926" s="4"/>
      <c r="I2926" s="4"/>
      <c r="J2926" s="4"/>
      <c r="K2926" s="4"/>
      <c r="L2926" s="4"/>
      <c r="M2926" s="4"/>
      <c r="N2926" s="4"/>
      <c r="O2926" s="4"/>
      <c r="P2926" s="4"/>
      <c r="Q2926" s="4"/>
      <c r="R2926" s="4"/>
      <c r="S2926" s="4"/>
      <c r="T2926" s="4"/>
      <c r="U2926" s="4"/>
      <c r="V2926" s="4"/>
      <c r="W2926" s="4"/>
      <c r="X2926" s="4"/>
      <c r="Y2926" s="4"/>
      <c r="Z2926" s="4"/>
      <c r="AA2926" s="4"/>
      <c r="AB2926" s="5"/>
    </row>
    <row r="2927" spans="1:28" x14ac:dyDescent="0.35">
      <c r="A2927" s="3"/>
      <c r="B2927" s="4"/>
      <c r="C2927" s="4"/>
      <c r="D2927" s="4"/>
      <c r="E2927" s="4"/>
      <c r="F2927" s="4"/>
      <c r="G2927" s="4"/>
      <c r="H2927" s="4"/>
      <c r="I2927" s="4"/>
      <c r="J2927" s="4"/>
      <c r="K2927" s="4"/>
      <c r="L2927" s="4"/>
      <c r="M2927" s="4"/>
      <c r="N2927" s="4"/>
      <c r="O2927" s="4"/>
      <c r="P2927" s="4"/>
      <c r="Q2927" s="4"/>
      <c r="R2927" s="4"/>
      <c r="S2927" s="4"/>
      <c r="T2927" s="4"/>
      <c r="U2927" s="4"/>
      <c r="V2927" s="4"/>
      <c r="W2927" s="4"/>
      <c r="X2927" s="4"/>
      <c r="Y2927" s="4"/>
      <c r="Z2927" s="4"/>
      <c r="AA2927" s="4"/>
      <c r="AB2927" s="5"/>
    </row>
    <row r="2928" spans="1:28" x14ac:dyDescent="0.35">
      <c r="A2928" s="3"/>
      <c r="B2928" s="4"/>
      <c r="C2928" s="4"/>
      <c r="D2928" s="4"/>
      <c r="E2928" s="4"/>
      <c r="F2928" s="4"/>
      <c r="G2928" s="4"/>
      <c r="H2928" s="4"/>
      <c r="I2928" s="4"/>
      <c r="J2928" s="4"/>
      <c r="K2928" s="4"/>
      <c r="L2928" s="4"/>
      <c r="M2928" s="4"/>
      <c r="N2928" s="4"/>
      <c r="O2928" s="4"/>
      <c r="P2928" s="4"/>
      <c r="Q2928" s="4"/>
      <c r="R2928" s="4"/>
      <c r="S2928" s="4"/>
      <c r="T2928" s="4"/>
      <c r="U2928" s="4"/>
      <c r="V2928" s="4"/>
      <c r="W2928" s="4"/>
      <c r="X2928" s="4"/>
      <c r="Y2928" s="4"/>
      <c r="Z2928" s="4"/>
      <c r="AA2928" s="4"/>
      <c r="AB2928" s="5"/>
    </row>
    <row r="2929" spans="1:28" x14ac:dyDescent="0.35">
      <c r="A2929" s="3"/>
      <c r="B2929" s="4"/>
      <c r="C2929" s="4"/>
      <c r="D2929" s="4"/>
      <c r="E2929" s="4"/>
      <c r="F2929" s="4"/>
      <c r="G2929" s="4"/>
      <c r="H2929" s="4"/>
      <c r="I2929" s="4"/>
      <c r="J2929" s="4"/>
      <c r="K2929" s="4"/>
      <c r="L2929" s="4"/>
      <c r="M2929" s="4"/>
      <c r="N2929" s="4"/>
      <c r="O2929" s="4"/>
      <c r="P2929" s="4"/>
      <c r="Q2929" s="4"/>
      <c r="R2929" s="4"/>
      <c r="S2929" s="4"/>
      <c r="T2929" s="4"/>
      <c r="U2929" s="4"/>
      <c r="V2929" s="4"/>
      <c r="W2929" s="4"/>
      <c r="X2929" s="4"/>
      <c r="Y2929" s="4"/>
      <c r="Z2929" s="4"/>
      <c r="AA2929" s="4"/>
      <c r="AB2929" s="5"/>
    </row>
    <row r="2930" spans="1:28" x14ac:dyDescent="0.35">
      <c r="A2930" s="3"/>
      <c r="B2930" s="4"/>
      <c r="C2930" s="4"/>
      <c r="D2930" s="4"/>
      <c r="E2930" s="4"/>
      <c r="F2930" s="4"/>
      <c r="G2930" s="4"/>
      <c r="H2930" s="4"/>
      <c r="I2930" s="4"/>
      <c r="J2930" s="4"/>
      <c r="K2930" s="4"/>
      <c r="L2930" s="4"/>
      <c r="M2930" s="4"/>
      <c r="N2930" s="4"/>
      <c r="O2930" s="4"/>
      <c r="P2930" s="4"/>
      <c r="Q2930" s="4"/>
      <c r="R2930" s="4"/>
      <c r="S2930" s="4"/>
      <c r="T2930" s="4"/>
      <c r="U2930" s="4"/>
      <c r="V2930" s="4"/>
      <c r="W2930" s="4"/>
      <c r="X2930" s="4"/>
      <c r="Y2930" s="4"/>
      <c r="Z2930" s="4"/>
      <c r="AA2930" s="4"/>
      <c r="AB2930" s="5"/>
    </row>
    <row r="2931" spans="1:28" x14ac:dyDescent="0.35">
      <c r="A2931" s="3"/>
      <c r="B2931" s="4"/>
      <c r="C2931" s="4"/>
      <c r="D2931" s="4"/>
      <c r="E2931" s="4"/>
      <c r="F2931" s="4"/>
      <c r="G2931" s="4"/>
      <c r="H2931" s="4"/>
      <c r="I2931" s="4"/>
      <c r="J2931" s="4"/>
      <c r="K2931" s="4"/>
      <c r="L2931" s="4"/>
      <c r="M2931" s="4"/>
      <c r="N2931" s="4"/>
      <c r="O2931" s="4"/>
      <c r="P2931" s="4"/>
      <c r="Q2931" s="4"/>
      <c r="R2931" s="4"/>
      <c r="S2931" s="4"/>
      <c r="T2931" s="4"/>
      <c r="U2931" s="4"/>
      <c r="V2931" s="4"/>
      <c r="W2931" s="4"/>
      <c r="X2931" s="4"/>
      <c r="Y2931" s="4"/>
      <c r="Z2931" s="4"/>
      <c r="AA2931" s="4"/>
      <c r="AB2931" s="5"/>
    </row>
    <row r="2932" spans="1:28" x14ac:dyDescent="0.35">
      <c r="A2932" s="3"/>
      <c r="B2932" s="4"/>
      <c r="C2932" s="4"/>
      <c r="D2932" s="4"/>
      <c r="E2932" s="4"/>
      <c r="F2932" s="4"/>
      <c r="G2932" s="4"/>
      <c r="H2932" s="4"/>
      <c r="I2932" s="4"/>
      <c r="J2932" s="4"/>
      <c r="K2932" s="4"/>
      <c r="L2932" s="4"/>
      <c r="M2932" s="4"/>
      <c r="N2932" s="4"/>
      <c r="O2932" s="4"/>
      <c r="P2932" s="4"/>
      <c r="Q2932" s="4"/>
      <c r="R2932" s="4"/>
      <c r="S2932" s="4"/>
      <c r="T2932" s="4"/>
      <c r="U2932" s="4"/>
      <c r="V2932" s="4"/>
      <c r="W2932" s="4"/>
      <c r="X2932" s="4"/>
      <c r="Y2932" s="4"/>
      <c r="Z2932" s="4"/>
      <c r="AA2932" s="4"/>
      <c r="AB2932" s="5"/>
    </row>
    <row r="2933" spans="1:28" x14ac:dyDescent="0.35">
      <c r="A2933" s="3"/>
      <c r="B2933" s="4"/>
      <c r="C2933" s="4"/>
      <c r="D2933" s="4"/>
      <c r="E2933" s="4"/>
      <c r="F2933" s="4"/>
      <c r="G2933" s="4"/>
      <c r="H2933" s="4"/>
      <c r="I2933" s="4"/>
      <c r="J2933" s="4"/>
      <c r="K2933" s="4"/>
      <c r="L2933" s="4"/>
      <c r="M2933" s="4"/>
      <c r="N2933" s="4"/>
      <c r="O2933" s="4"/>
      <c r="P2933" s="4"/>
      <c r="Q2933" s="4"/>
      <c r="R2933" s="4"/>
      <c r="S2933" s="4"/>
      <c r="T2933" s="4"/>
      <c r="U2933" s="4"/>
      <c r="V2933" s="4"/>
      <c r="W2933" s="4"/>
      <c r="X2933" s="4"/>
      <c r="Y2933" s="4"/>
      <c r="Z2933" s="4"/>
      <c r="AA2933" s="4"/>
      <c r="AB2933" s="5"/>
    </row>
    <row r="2934" spans="1:28" x14ac:dyDescent="0.35">
      <c r="A2934" s="3"/>
      <c r="B2934" s="4"/>
      <c r="C2934" s="4"/>
      <c r="D2934" s="4"/>
      <c r="E2934" s="4"/>
      <c r="F2934" s="4"/>
      <c r="G2934" s="4"/>
      <c r="H2934" s="4"/>
      <c r="I2934" s="4"/>
      <c r="J2934" s="4"/>
      <c r="K2934" s="4"/>
      <c r="L2934" s="4"/>
      <c r="M2934" s="4"/>
      <c r="N2934" s="4"/>
      <c r="O2934" s="4"/>
      <c r="P2934" s="4"/>
      <c r="Q2934" s="4"/>
      <c r="R2934" s="4"/>
      <c r="S2934" s="4"/>
      <c r="T2934" s="4"/>
      <c r="U2934" s="4"/>
      <c r="V2934" s="4"/>
      <c r="W2934" s="4"/>
      <c r="X2934" s="4"/>
      <c r="Y2934" s="4"/>
      <c r="Z2934" s="4"/>
      <c r="AA2934" s="4"/>
      <c r="AB2934" s="5"/>
    </row>
    <row r="2935" spans="1:28" x14ac:dyDescent="0.35">
      <c r="A2935" s="3"/>
      <c r="B2935" s="4"/>
      <c r="C2935" s="4"/>
      <c r="D2935" s="4"/>
      <c r="E2935" s="4"/>
      <c r="F2935" s="4"/>
      <c r="G2935" s="4"/>
      <c r="H2935" s="4"/>
      <c r="I2935" s="4"/>
      <c r="J2935" s="4"/>
      <c r="K2935" s="4"/>
      <c r="L2935" s="4"/>
      <c r="M2935" s="4"/>
      <c r="N2935" s="4"/>
      <c r="O2935" s="4"/>
      <c r="P2935" s="4"/>
      <c r="Q2935" s="4"/>
      <c r="R2935" s="4"/>
      <c r="S2935" s="4"/>
      <c r="T2935" s="4"/>
      <c r="U2935" s="4"/>
      <c r="V2935" s="4"/>
      <c r="W2935" s="4"/>
      <c r="X2935" s="4"/>
      <c r="Y2935" s="4"/>
      <c r="Z2935" s="4"/>
      <c r="AA2935" s="4"/>
      <c r="AB2935" s="5"/>
    </row>
    <row r="2936" spans="1:28" x14ac:dyDescent="0.35">
      <c r="A2936" s="3"/>
      <c r="B2936" s="4"/>
      <c r="C2936" s="4"/>
      <c r="D2936" s="4"/>
      <c r="E2936" s="4"/>
      <c r="F2936" s="4"/>
      <c r="G2936" s="4"/>
      <c r="H2936" s="4"/>
      <c r="I2936" s="4"/>
      <c r="J2936" s="4"/>
      <c r="K2936" s="4"/>
      <c r="L2936" s="4"/>
      <c r="M2936" s="4"/>
      <c r="N2936" s="4"/>
      <c r="O2936" s="4"/>
      <c r="P2936" s="4"/>
      <c r="Q2936" s="4"/>
      <c r="R2936" s="4"/>
      <c r="S2936" s="4"/>
      <c r="T2936" s="4"/>
      <c r="U2936" s="4"/>
      <c r="V2936" s="4"/>
      <c r="W2936" s="4"/>
      <c r="X2936" s="4"/>
      <c r="Y2936" s="4"/>
      <c r="Z2936" s="4"/>
      <c r="AA2936" s="4"/>
      <c r="AB2936" s="5"/>
    </row>
    <row r="2937" spans="1:28" x14ac:dyDescent="0.35">
      <c r="A2937" s="3"/>
      <c r="B2937" s="4"/>
      <c r="C2937" s="4"/>
      <c r="D2937" s="4"/>
      <c r="E2937" s="4"/>
      <c r="F2937" s="4"/>
      <c r="G2937" s="4"/>
      <c r="H2937" s="4"/>
      <c r="I2937" s="4"/>
      <c r="J2937" s="4"/>
      <c r="K2937" s="4"/>
      <c r="L2937" s="4"/>
      <c r="M2937" s="4"/>
      <c r="N2937" s="4"/>
      <c r="O2937" s="4"/>
      <c r="P2937" s="4"/>
      <c r="Q2937" s="4"/>
      <c r="R2937" s="4"/>
      <c r="S2937" s="4"/>
      <c r="T2937" s="4"/>
      <c r="U2937" s="4"/>
      <c r="V2937" s="4"/>
      <c r="W2937" s="4"/>
      <c r="X2937" s="4"/>
      <c r="Y2937" s="4"/>
      <c r="Z2937" s="4"/>
      <c r="AA2937" s="4"/>
      <c r="AB2937" s="5"/>
    </row>
    <row r="2938" spans="1:28" x14ac:dyDescent="0.35">
      <c r="A2938" s="3"/>
      <c r="B2938" s="4"/>
      <c r="C2938" s="4"/>
      <c r="D2938" s="4"/>
      <c r="E2938" s="4"/>
      <c r="F2938" s="4"/>
      <c r="G2938" s="4"/>
      <c r="H2938" s="4"/>
      <c r="I2938" s="4"/>
      <c r="J2938" s="4"/>
      <c r="K2938" s="4"/>
      <c r="L2938" s="4"/>
      <c r="M2938" s="4"/>
      <c r="N2938" s="4"/>
      <c r="O2938" s="4"/>
      <c r="P2938" s="4"/>
      <c r="Q2938" s="4"/>
      <c r="R2938" s="4"/>
      <c r="S2938" s="4"/>
      <c r="T2938" s="4"/>
      <c r="U2938" s="4"/>
      <c r="V2938" s="4"/>
      <c r="W2938" s="4"/>
      <c r="X2938" s="4"/>
      <c r="Y2938" s="4"/>
      <c r="Z2938" s="4"/>
      <c r="AA2938" s="4"/>
      <c r="AB2938" s="5"/>
    </row>
    <row r="2939" spans="1:28" x14ac:dyDescent="0.35">
      <c r="A2939" s="3"/>
      <c r="B2939" s="4"/>
      <c r="C2939" s="4"/>
      <c r="D2939" s="4"/>
      <c r="E2939" s="4"/>
      <c r="F2939" s="4"/>
      <c r="G2939" s="4"/>
      <c r="H2939" s="4"/>
      <c r="I2939" s="4"/>
      <c r="J2939" s="4"/>
      <c r="K2939" s="4"/>
      <c r="L2939" s="4"/>
      <c r="M2939" s="4"/>
      <c r="N2939" s="4"/>
      <c r="O2939" s="4"/>
      <c r="P2939" s="4"/>
      <c r="Q2939" s="4"/>
      <c r="R2939" s="4"/>
      <c r="S2939" s="4"/>
      <c r="T2939" s="4"/>
      <c r="U2939" s="4"/>
      <c r="V2939" s="4"/>
      <c r="W2939" s="4"/>
      <c r="X2939" s="4"/>
      <c r="Y2939" s="4"/>
      <c r="Z2939" s="4"/>
      <c r="AA2939" s="4"/>
      <c r="AB2939" s="5"/>
    </row>
    <row r="2940" spans="1:28" x14ac:dyDescent="0.35">
      <c r="A2940" s="3"/>
      <c r="B2940" s="4"/>
      <c r="C2940" s="4"/>
      <c r="D2940" s="4"/>
      <c r="E2940" s="4"/>
      <c r="F2940" s="4"/>
      <c r="G2940" s="4"/>
      <c r="H2940" s="4"/>
      <c r="I2940" s="4"/>
      <c r="J2940" s="4"/>
      <c r="K2940" s="4"/>
      <c r="L2940" s="4"/>
      <c r="M2940" s="4"/>
      <c r="N2940" s="4"/>
      <c r="O2940" s="4"/>
      <c r="P2940" s="4"/>
      <c r="Q2940" s="4"/>
      <c r="R2940" s="4"/>
      <c r="S2940" s="4"/>
      <c r="T2940" s="4"/>
      <c r="U2940" s="4"/>
      <c r="V2940" s="4"/>
      <c r="W2940" s="4"/>
      <c r="X2940" s="4"/>
      <c r="Y2940" s="4"/>
      <c r="Z2940" s="4"/>
      <c r="AA2940" s="4"/>
      <c r="AB2940" s="5"/>
    </row>
    <row r="2941" spans="1:28" x14ac:dyDescent="0.35">
      <c r="A2941" s="3"/>
      <c r="B2941" s="4"/>
      <c r="C2941" s="4"/>
      <c r="D2941" s="4"/>
      <c r="E2941" s="4"/>
      <c r="F2941" s="4"/>
      <c r="G2941" s="4"/>
      <c r="H2941" s="4"/>
      <c r="I2941" s="4"/>
      <c r="J2941" s="4"/>
      <c r="K2941" s="4"/>
      <c r="L2941" s="4"/>
      <c r="M2941" s="4"/>
      <c r="N2941" s="4"/>
      <c r="O2941" s="4"/>
      <c r="P2941" s="4"/>
      <c r="Q2941" s="4"/>
      <c r="R2941" s="4"/>
      <c r="S2941" s="4"/>
      <c r="T2941" s="4"/>
      <c r="U2941" s="4"/>
      <c r="V2941" s="4"/>
      <c r="W2941" s="4"/>
      <c r="X2941" s="4"/>
      <c r="Y2941" s="4"/>
      <c r="Z2941" s="4"/>
      <c r="AA2941" s="4"/>
      <c r="AB2941" s="5"/>
    </row>
    <row r="2942" spans="1:28" x14ac:dyDescent="0.35">
      <c r="A2942" s="3"/>
      <c r="B2942" s="4"/>
      <c r="C2942" s="4"/>
      <c r="D2942" s="4"/>
      <c r="E2942" s="4"/>
      <c r="F2942" s="4"/>
      <c r="G2942" s="4"/>
      <c r="H2942" s="4"/>
      <c r="I2942" s="4"/>
      <c r="J2942" s="4"/>
      <c r="K2942" s="4"/>
      <c r="L2942" s="4"/>
      <c r="M2942" s="4"/>
      <c r="N2942" s="4"/>
      <c r="O2942" s="4"/>
      <c r="P2942" s="4"/>
      <c r="Q2942" s="4"/>
      <c r="R2942" s="4"/>
      <c r="S2942" s="4"/>
      <c r="T2942" s="4"/>
      <c r="U2942" s="4"/>
      <c r="V2942" s="4"/>
      <c r="W2942" s="4"/>
      <c r="X2942" s="4"/>
      <c r="Y2942" s="4"/>
      <c r="Z2942" s="4"/>
      <c r="AA2942" s="4"/>
      <c r="AB2942" s="5"/>
    </row>
    <row r="2943" spans="1:28" x14ac:dyDescent="0.35">
      <c r="A2943" s="3"/>
      <c r="B2943" s="4"/>
      <c r="C2943" s="4"/>
      <c r="D2943" s="4"/>
      <c r="E2943" s="4"/>
      <c r="F2943" s="4"/>
      <c r="G2943" s="4"/>
      <c r="H2943" s="4"/>
      <c r="I2943" s="4"/>
      <c r="J2943" s="4"/>
      <c r="K2943" s="4"/>
      <c r="L2943" s="4"/>
      <c r="M2943" s="4"/>
      <c r="N2943" s="4"/>
      <c r="O2943" s="4"/>
      <c r="P2943" s="4"/>
      <c r="Q2943" s="4"/>
      <c r="R2943" s="4"/>
      <c r="S2943" s="4"/>
      <c r="T2943" s="4"/>
      <c r="U2943" s="4"/>
      <c r="V2943" s="4"/>
      <c r="W2943" s="4"/>
      <c r="X2943" s="4"/>
      <c r="Y2943" s="4"/>
      <c r="Z2943" s="4"/>
      <c r="AA2943" s="4"/>
      <c r="AB2943" s="5"/>
    </row>
    <row r="2944" spans="1:28" x14ac:dyDescent="0.35">
      <c r="A2944" s="3"/>
      <c r="B2944" s="4"/>
      <c r="C2944" s="4"/>
      <c r="D2944" s="4"/>
      <c r="E2944" s="4"/>
      <c r="F2944" s="4"/>
      <c r="G2944" s="4"/>
      <c r="H2944" s="4"/>
      <c r="I2944" s="4"/>
      <c r="J2944" s="4"/>
      <c r="K2944" s="4"/>
      <c r="L2944" s="4"/>
      <c r="M2944" s="4"/>
      <c r="N2944" s="4"/>
      <c r="O2944" s="4"/>
      <c r="P2944" s="4"/>
      <c r="Q2944" s="4"/>
      <c r="R2944" s="4"/>
      <c r="S2944" s="4"/>
      <c r="T2944" s="4"/>
      <c r="U2944" s="4"/>
      <c r="V2944" s="4"/>
      <c r="W2944" s="4"/>
      <c r="X2944" s="4"/>
      <c r="Y2944" s="4"/>
      <c r="Z2944" s="4"/>
      <c r="AA2944" s="4"/>
      <c r="AB2944" s="5"/>
    </row>
    <row r="2945" spans="1:28" x14ac:dyDescent="0.35">
      <c r="A2945" s="3"/>
      <c r="B2945" s="4"/>
      <c r="C2945" s="4"/>
      <c r="D2945" s="4"/>
      <c r="E2945" s="4"/>
      <c r="F2945" s="4"/>
      <c r="G2945" s="4"/>
      <c r="H2945" s="4"/>
      <c r="I2945" s="4"/>
      <c r="J2945" s="4"/>
      <c r="K2945" s="4"/>
      <c r="L2945" s="4"/>
      <c r="M2945" s="4"/>
      <c r="N2945" s="4"/>
      <c r="O2945" s="4"/>
      <c r="P2945" s="4"/>
      <c r="Q2945" s="4"/>
      <c r="R2945" s="4"/>
      <c r="S2945" s="4"/>
      <c r="T2945" s="4"/>
      <c r="U2945" s="4"/>
      <c r="V2945" s="4"/>
      <c r="W2945" s="4"/>
      <c r="X2945" s="4"/>
      <c r="Y2945" s="4"/>
      <c r="Z2945" s="4"/>
      <c r="AA2945" s="4"/>
      <c r="AB2945" s="5"/>
    </row>
    <row r="2946" spans="1:28" x14ac:dyDescent="0.35">
      <c r="A2946" s="3"/>
      <c r="B2946" s="4"/>
      <c r="C2946" s="4"/>
      <c r="D2946" s="4"/>
      <c r="E2946" s="4"/>
      <c r="F2946" s="4"/>
      <c r="G2946" s="4"/>
      <c r="H2946" s="4"/>
      <c r="I2946" s="4"/>
      <c r="J2946" s="4"/>
      <c r="K2946" s="4"/>
      <c r="L2946" s="4"/>
      <c r="M2946" s="4"/>
      <c r="N2946" s="4"/>
      <c r="O2946" s="4"/>
      <c r="P2946" s="4"/>
      <c r="Q2946" s="4"/>
      <c r="R2946" s="4"/>
      <c r="S2946" s="4"/>
      <c r="T2946" s="4"/>
      <c r="U2946" s="4"/>
      <c r="V2946" s="4"/>
      <c r="W2946" s="4"/>
      <c r="X2946" s="4"/>
      <c r="Y2946" s="4"/>
      <c r="Z2946" s="4"/>
      <c r="AA2946" s="4"/>
      <c r="AB2946" s="5"/>
    </row>
    <row r="2947" spans="1:28" x14ac:dyDescent="0.35">
      <c r="A2947" s="3"/>
      <c r="B2947" s="4"/>
      <c r="C2947" s="4"/>
      <c r="D2947" s="4"/>
      <c r="E2947" s="4"/>
      <c r="F2947" s="4"/>
      <c r="G2947" s="4"/>
      <c r="H2947" s="4"/>
      <c r="I2947" s="4"/>
      <c r="J2947" s="4"/>
      <c r="K2947" s="4"/>
      <c r="L2947" s="4"/>
      <c r="M2947" s="4"/>
      <c r="N2947" s="4"/>
      <c r="O2947" s="4"/>
      <c r="P2947" s="4"/>
      <c r="Q2947" s="4"/>
      <c r="R2947" s="4"/>
      <c r="S2947" s="4"/>
      <c r="T2947" s="4"/>
      <c r="U2947" s="4"/>
      <c r="V2947" s="4"/>
      <c r="W2947" s="4"/>
      <c r="X2947" s="4"/>
      <c r="Y2947" s="4"/>
      <c r="Z2947" s="4"/>
      <c r="AA2947" s="4"/>
      <c r="AB2947" s="5"/>
    </row>
    <row r="2948" spans="1:28" x14ac:dyDescent="0.35">
      <c r="A2948" s="3"/>
      <c r="B2948" s="4"/>
      <c r="C2948" s="4"/>
      <c r="D2948" s="4"/>
      <c r="E2948" s="4"/>
      <c r="F2948" s="4"/>
      <c r="G2948" s="4"/>
      <c r="H2948" s="4"/>
      <c r="I2948" s="4"/>
      <c r="J2948" s="4"/>
      <c r="K2948" s="4"/>
      <c r="L2948" s="4"/>
      <c r="M2948" s="4"/>
      <c r="N2948" s="4"/>
      <c r="O2948" s="4"/>
      <c r="P2948" s="4"/>
      <c r="Q2948" s="4"/>
      <c r="R2948" s="4"/>
      <c r="S2948" s="4"/>
      <c r="T2948" s="4"/>
      <c r="U2948" s="4"/>
      <c r="V2948" s="4"/>
      <c r="W2948" s="4"/>
      <c r="X2948" s="4"/>
      <c r="Y2948" s="4"/>
      <c r="Z2948" s="4"/>
      <c r="AA2948" s="4"/>
      <c r="AB2948" s="5"/>
    </row>
    <row r="2949" spans="1:28" x14ac:dyDescent="0.35">
      <c r="A2949" s="3"/>
      <c r="B2949" s="4"/>
      <c r="C2949" s="4"/>
      <c r="D2949" s="4"/>
      <c r="E2949" s="4"/>
      <c r="F2949" s="4"/>
      <c r="G2949" s="4"/>
      <c r="H2949" s="4"/>
      <c r="I2949" s="4"/>
      <c r="J2949" s="4"/>
      <c r="K2949" s="4"/>
      <c r="L2949" s="4"/>
      <c r="M2949" s="4"/>
      <c r="N2949" s="4"/>
      <c r="O2949" s="4"/>
      <c r="P2949" s="4"/>
      <c r="Q2949" s="4"/>
      <c r="R2949" s="4"/>
      <c r="S2949" s="4"/>
      <c r="T2949" s="4"/>
      <c r="U2949" s="4"/>
      <c r="V2949" s="4"/>
      <c r="W2949" s="4"/>
      <c r="X2949" s="4"/>
      <c r="Y2949" s="4"/>
      <c r="Z2949" s="4"/>
      <c r="AA2949" s="4"/>
      <c r="AB2949" s="5"/>
    </row>
    <row r="2950" spans="1:28" x14ac:dyDescent="0.35">
      <c r="A2950" s="3"/>
      <c r="B2950" s="4"/>
      <c r="C2950" s="4"/>
      <c r="D2950" s="4"/>
      <c r="E2950" s="4"/>
      <c r="F2950" s="4"/>
      <c r="G2950" s="4"/>
      <c r="H2950" s="4"/>
      <c r="I2950" s="4"/>
      <c r="J2950" s="4"/>
      <c r="K2950" s="4"/>
      <c r="L2950" s="4"/>
      <c r="M2950" s="4"/>
      <c r="N2950" s="4"/>
      <c r="O2950" s="4"/>
      <c r="P2950" s="4"/>
      <c r="Q2950" s="4"/>
      <c r="R2950" s="4"/>
      <c r="S2950" s="4"/>
      <c r="T2950" s="4"/>
      <c r="U2950" s="4"/>
      <c r="V2950" s="4"/>
      <c r="W2950" s="4"/>
      <c r="X2950" s="4"/>
      <c r="Y2950" s="4"/>
      <c r="Z2950" s="4"/>
      <c r="AA2950" s="4"/>
      <c r="AB2950" s="5"/>
    </row>
    <row r="2951" spans="1:28" x14ac:dyDescent="0.35">
      <c r="A2951" s="3"/>
      <c r="B2951" s="4"/>
      <c r="C2951" s="4"/>
      <c r="D2951" s="4"/>
      <c r="E2951" s="4"/>
      <c r="F2951" s="4"/>
      <c r="G2951" s="4"/>
      <c r="H2951" s="4"/>
      <c r="I2951" s="4"/>
      <c r="J2951" s="4"/>
      <c r="K2951" s="4"/>
      <c r="L2951" s="4"/>
      <c r="M2951" s="4"/>
      <c r="N2951" s="4"/>
      <c r="O2951" s="4"/>
      <c r="P2951" s="4"/>
      <c r="Q2951" s="4"/>
      <c r="R2951" s="4"/>
      <c r="S2951" s="4"/>
      <c r="T2951" s="4"/>
      <c r="U2951" s="4"/>
      <c r="V2951" s="4"/>
      <c r="W2951" s="4"/>
      <c r="X2951" s="4"/>
      <c r="Y2951" s="4"/>
      <c r="Z2951" s="4"/>
      <c r="AA2951" s="4"/>
      <c r="AB2951" s="5"/>
    </row>
    <row r="2952" spans="1:28" x14ac:dyDescent="0.35">
      <c r="A2952" s="3"/>
      <c r="B2952" s="4"/>
      <c r="C2952" s="4"/>
      <c r="D2952" s="4"/>
      <c r="E2952" s="4"/>
      <c r="F2952" s="4"/>
      <c r="G2952" s="4"/>
      <c r="H2952" s="4"/>
      <c r="I2952" s="4"/>
      <c r="J2952" s="4"/>
      <c r="K2952" s="4"/>
      <c r="L2952" s="4"/>
      <c r="M2952" s="4"/>
      <c r="N2952" s="4"/>
      <c r="O2952" s="4"/>
      <c r="P2952" s="4"/>
      <c r="Q2952" s="4"/>
      <c r="R2952" s="4"/>
      <c r="S2952" s="4"/>
      <c r="T2952" s="4"/>
      <c r="U2952" s="4"/>
      <c r="V2952" s="4"/>
      <c r="W2952" s="4"/>
      <c r="X2952" s="4"/>
      <c r="Y2952" s="4"/>
      <c r="Z2952" s="4"/>
      <c r="AA2952" s="4"/>
      <c r="AB2952" s="5"/>
    </row>
    <row r="2953" spans="1:28" x14ac:dyDescent="0.35">
      <c r="A2953" s="3"/>
      <c r="B2953" s="4"/>
      <c r="C2953" s="4"/>
      <c r="D2953" s="4"/>
      <c r="E2953" s="4"/>
      <c r="F2953" s="4"/>
      <c r="G2953" s="4"/>
      <c r="H2953" s="4"/>
      <c r="I2953" s="4"/>
      <c r="J2953" s="4"/>
      <c r="K2953" s="4"/>
      <c r="L2953" s="4"/>
      <c r="M2953" s="4"/>
      <c r="N2953" s="4"/>
      <c r="O2953" s="4"/>
      <c r="P2953" s="4"/>
      <c r="Q2953" s="4"/>
      <c r="R2953" s="4"/>
      <c r="S2953" s="4"/>
      <c r="T2953" s="4"/>
      <c r="U2953" s="4"/>
      <c r="V2953" s="4"/>
      <c r="W2953" s="4"/>
      <c r="X2953" s="4"/>
      <c r="Y2953" s="4"/>
      <c r="Z2953" s="4"/>
      <c r="AA2953" s="4"/>
      <c r="AB2953" s="5"/>
    </row>
    <row r="2954" spans="1:28" x14ac:dyDescent="0.35">
      <c r="A2954" s="3"/>
      <c r="B2954" s="4"/>
      <c r="C2954" s="4"/>
      <c r="D2954" s="4"/>
      <c r="E2954" s="4"/>
      <c r="F2954" s="4"/>
      <c r="G2954" s="4"/>
      <c r="H2954" s="4"/>
      <c r="I2954" s="4"/>
      <c r="J2954" s="4"/>
      <c r="K2954" s="4"/>
      <c r="L2954" s="4"/>
      <c r="M2954" s="4"/>
      <c r="N2954" s="4"/>
      <c r="O2954" s="4"/>
      <c r="P2954" s="4"/>
      <c r="Q2954" s="4"/>
      <c r="R2954" s="4"/>
      <c r="S2954" s="4"/>
      <c r="T2954" s="4"/>
      <c r="U2954" s="4"/>
      <c r="V2954" s="4"/>
      <c r="W2954" s="4"/>
      <c r="X2954" s="4"/>
      <c r="Y2954" s="4"/>
      <c r="Z2954" s="4"/>
      <c r="AA2954" s="4"/>
      <c r="AB2954" s="5"/>
    </row>
    <row r="2955" spans="1:28" x14ac:dyDescent="0.35">
      <c r="A2955" s="3"/>
      <c r="B2955" s="4"/>
      <c r="C2955" s="4"/>
      <c r="D2955" s="4"/>
      <c r="E2955" s="4"/>
      <c r="F2955" s="4"/>
      <c r="G2955" s="4"/>
      <c r="H2955" s="4"/>
      <c r="I2955" s="4"/>
      <c r="J2955" s="4"/>
      <c r="K2955" s="4"/>
      <c r="L2955" s="4"/>
      <c r="M2955" s="4"/>
      <c r="N2955" s="4"/>
      <c r="O2955" s="4"/>
      <c r="P2955" s="4"/>
      <c r="Q2955" s="4"/>
      <c r="R2955" s="4"/>
      <c r="S2955" s="4"/>
      <c r="T2955" s="4"/>
      <c r="U2955" s="4"/>
      <c r="V2955" s="4"/>
      <c r="W2955" s="4"/>
      <c r="X2955" s="4"/>
      <c r="Y2955" s="4"/>
      <c r="Z2955" s="4"/>
      <c r="AA2955" s="4"/>
      <c r="AB2955" s="5"/>
    </row>
    <row r="2956" spans="1:28" x14ac:dyDescent="0.35">
      <c r="A2956" s="3"/>
      <c r="B2956" s="4"/>
      <c r="C2956" s="4"/>
      <c r="D2956" s="4"/>
      <c r="E2956" s="4"/>
      <c r="F2956" s="4"/>
      <c r="G2956" s="4"/>
      <c r="H2956" s="4"/>
      <c r="I2956" s="4"/>
      <c r="J2956" s="4"/>
      <c r="K2956" s="4"/>
      <c r="L2956" s="4"/>
      <c r="M2956" s="4"/>
      <c r="N2956" s="4"/>
      <c r="O2956" s="4"/>
      <c r="P2956" s="4"/>
      <c r="Q2956" s="4"/>
      <c r="R2956" s="4"/>
      <c r="S2956" s="4"/>
      <c r="T2956" s="4"/>
      <c r="U2956" s="4"/>
      <c r="V2956" s="4"/>
      <c r="W2956" s="4"/>
      <c r="X2956" s="4"/>
      <c r="Y2956" s="4"/>
      <c r="Z2956" s="4"/>
      <c r="AA2956" s="4"/>
      <c r="AB2956" s="5"/>
    </row>
    <row r="2957" spans="1:28" x14ac:dyDescent="0.35">
      <c r="A2957" s="3"/>
      <c r="B2957" s="4"/>
      <c r="C2957" s="4"/>
      <c r="D2957" s="4"/>
      <c r="E2957" s="4"/>
      <c r="F2957" s="4"/>
      <c r="G2957" s="4"/>
      <c r="H2957" s="4"/>
      <c r="I2957" s="4"/>
      <c r="J2957" s="4"/>
      <c r="K2957" s="4"/>
      <c r="L2957" s="4"/>
      <c r="M2957" s="4"/>
      <c r="N2957" s="4"/>
      <c r="O2957" s="4"/>
      <c r="P2957" s="4"/>
      <c r="Q2957" s="4"/>
      <c r="R2957" s="4"/>
      <c r="S2957" s="4"/>
      <c r="T2957" s="4"/>
      <c r="U2957" s="4"/>
      <c r="V2957" s="4"/>
      <c r="W2957" s="4"/>
      <c r="X2957" s="4"/>
      <c r="Y2957" s="4"/>
      <c r="Z2957" s="4"/>
      <c r="AA2957" s="4"/>
      <c r="AB2957" s="5"/>
    </row>
    <row r="2958" spans="1:28" x14ac:dyDescent="0.35">
      <c r="A2958" s="3"/>
      <c r="B2958" s="4"/>
      <c r="C2958" s="4"/>
      <c r="D2958" s="4"/>
      <c r="E2958" s="4"/>
      <c r="F2958" s="4"/>
      <c r="G2958" s="4"/>
      <c r="H2958" s="4"/>
      <c r="I2958" s="4"/>
      <c r="J2958" s="4"/>
      <c r="K2958" s="4"/>
      <c r="L2958" s="4"/>
      <c r="M2958" s="4"/>
      <c r="N2958" s="4"/>
      <c r="O2958" s="4"/>
      <c r="P2958" s="4"/>
      <c r="Q2958" s="4"/>
      <c r="R2958" s="4"/>
      <c r="S2958" s="4"/>
      <c r="T2958" s="4"/>
      <c r="U2958" s="4"/>
      <c r="V2958" s="4"/>
      <c r="W2958" s="4"/>
      <c r="X2958" s="4"/>
      <c r="Y2958" s="4"/>
      <c r="Z2958" s="4"/>
      <c r="AA2958" s="4"/>
      <c r="AB2958" s="5"/>
    </row>
    <row r="2959" spans="1:28" x14ac:dyDescent="0.35">
      <c r="A2959" s="3"/>
      <c r="B2959" s="4"/>
      <c r="C2959" s="4"/>
      <c r="D2959" s="4"/>
      <c r="E2959" s="4"/>
      <c r="F2959" s="4"/>
      <c r="G2959" s="4"/>
      <c r="H2959" s="4"/>
      <c r="I2959" s="4"/>
      <c r="J2959" s="4"/>
      <c r="K2959" s="4"/>
      <c r="L2959" s="4"/>
      <c r="M2959" s="4"/>
      <c r="N2959" s="4"/>
      <c r="O2959" s="4"/>
      <c r="P2959" s="4"/>
      <c r="Q2959" s="4"/>
      <c r="R2959" s="4"/>
      <c r="S2959" s="4"/>
      <c r="T2959" s="4"/>
      <c r="U2959" s="4"/>
      <c r="V2959" s="4"/>
      <c r="W2959" s="4"/>
      <c r="X2959" s="4"/>
      <c r="Y2959" s="4"/>
      <c r="Z2959" s="4"/>
      <c r="AA2959" s="4"/>
      <c r="AB2959" s="5"/>
    </row>
    <row r="2960" spans="1:28" x14ac:dyDescent="0.35">
      <c r="A2960" s="3"/>
      <c r="B2960" s="4"/>
      <c r="C2960" s="4"/>
      <c r="D2960" s="4"/>
      <c r="E2960" s="4"/>
      <c r="F2960" s="4"/>
      <c r="G2960" s="4"/>
      <c r="H2960" s="4"/>
      <c r="I2960" s="4"/>
      <c r="J2960" s="4"/>
      <c r="K2960" s="4"/>
      <c r="L2960" s="4"/>
      <c r="M2960" s="4"/>
      <c r="N2960" s="4"/>
      <c r="O2960" s="4"/>
      <c r="P2960" s="4"/>
      <c r="Q2960" s="4"/>
      <c r="R2960" s="4"/>
      <c r="S2960" s="4"/>
      <c r="T2960" s="4"/>
      <c r="U2960" s="4"/>
      <c r="V2960" s="4"/>
      <c r="W2960" s="4"/>
      <c r="X2960" s="4"/>
      <c r="Y2960" s="4"/>
      <c r="Z2960" s="4"/>
      <c r="AA2960" s="4"/>
      <c r="AB2960" s="5"/>
    </row>
    <row r="2961" spans="1:28" x14ac:dyDescent="0.35">
      <c r="A2961" s="3"/>
      <c r="B2961" s="4"/>
      <c r="C2961" s="4"/>
      <c r="D2961" s="4"/>
      <c r="E2961" s="4"/>
      <c r="F2961" s="4"/>
      <c r="G2961" s="4"/>
      <c r="H2961" s="4"/>
      <c r="I2961" s="4"/>
      <c r="J2961" s="4"/>
      <c r="K2961" s="4"/>
      <c r="L2961" s="4"/>
      <c r="M2961" s="4"/>
      <c r="N2961" s="4"/>
      <c r="O2961" s="4"/>
      <c r="P2961" s="4"/>
      <c r="Q2961" s="4"/>
      <c r="R2961" s="4"/>
      <c r="S2961" s="4"/>
      <c r="T2961" s="4"/>
      <c r="U2961" s="4"/>
      <c r="V2961" s="4"/>
      <c r="W2961" s="4"/>
      <c r="X2961" s="4"/>
      <c r="Y2961" s="4"/>
      <c r="Z2961" s="4"/>
      <c r="AA2961" s="4"/>
      <c r="AB2961" s="5"/>
    </row>
    <row r="2962" spans="1:28" x14ac:dyDescent="0.35">
      <c r="A2962" s="3"/>
      <c r="B2962" s="4"/>
      <c r="C2962" s="4"/>
      <c r="D2962" s="4"/>
      <c r="E2962" s="4"/>
      <c r="F2962" s="4"/>
      <c r="G2962" s="4"/>
      <c r="H2962" s="4"/>
      <c r="I2962" s="4"/>
      <c r="J2962" s="4"/>
      <c r="K2962" s="4"/>
      <c r="L2962" s="4"/>
      <c r="M2962" s="4"/>
      <c r="N2962" s="4"/>
      <c r="O2962" s="4"/>
      <c r="P2962" s="4"/>
      <c r="Q2962" s="4"/>
      <c r="R2962" s="4"/>
      <c r="S2962" s="4"/>
      <c r="T2962" s="4"/>
      <c r="U2962" s="4"/>
      <c r="V2962" s="4"/>
      <c r="W2962" s="4"/>
      <c r="X2962" s="4"/>
      <c r="Y2962" s="4"/>
      <c r="Z2962" s="4"/>
      <c r="AA2962" s="4"/>
      <c r="AB2962" s="5"/>
    </row>
    <row r="2963" spans="1:28" x14ac:dyDescent="0.35">
      <c r="A2963" s="3"/>
      <c r="B2963" s="4"/>
      <c r="C2963" s="4"/>
      <c r="D2963" s="4"/>
      <c r="E2963" s="4"/>
      <c r="F2963" s="4"/>
      <c r="G2963" s="4"/>
      <c r="H2963" s="4"/>
      <c r="I2963" s="4"/>
      <c r="J2963" s="4"/>
      <c r="K2963" s="4"/>
      <c r="L2963" s="4"/>
      <c r="M2963" s="4"/>
      <c r="N2963" s="4"/>
      <c r="O2963" s="4"/>
      <c r="P2963" s="4"/>
      <c r="Q2963" s="4"/>
      <c r="R2963" s="4"/>
      <c r="S2963" s="4"/>
      <c r="T2963" s="4"/>
      <c r="U2963" s="4"/>
      <c r="V2963" s="4"/>
      <c r="W2963" s="4"/>
      <c r="X2963" s="4"/>
      <c r="Y2963" s="4"/>
      <c r="Z2963" s="4"/>
      <c r="AA2963" s="4"/>
      <c r="AB2963" s="5"/>
    </row>
    <row r="2964" spans="1:28" x14ac:dyDescent="0.35">
      <c r="A2964" s="3"/>
      <c r="B2964" s="4"/>
      <c r="C2964" s="4"/>
      <c r="D2964" s="4"/>
      <c r="E2964" s="4"/>
      <c r="F2964" s="4"/>
      <c r="G2964" s="4"/>
      <c r="H2964" s="4"/>
      <c r="I2964" s="4"/>
      <c r="J2964" s="4"/>
      <c r="K2964" s="4"/>
      <c r="L2964" s="4"/>
      <c r="M2964" s="4"/>
      <c r="N2964" s="4"/>
      <c r="O2964" s="4"/>
      <c r="P2964" s="4"/>
      <c r="Q2964" s="4"/>
      <c r="R2964" s="4"/>
      <c r="S2964" s="4"/>
      <c r="T2964" s="4"/>
      <c r="U2964" s="4"/>
      <c r="V2964" s="4"/>
      <c r="W2964" s="4"/>
      <c r="X2964" s="4"/>
      <c r="Y2964" s="4"/>
      <c r="Z2964" s="4"/>
      <c r="AA2964" s="4"/>
      <c r="AB2964" s="5"/>
    </row>
    <row r="2965" spans="1:28" x14ac:dyDescent="0.35">
      <c r="A2965" s="3"/>
      <c r="B2965" s="4"/>
      <c r="C2965" s="4"/>
      <c r="D2965" s="4"/>
      <c r="E2965" s="4"/>
      <c r="F2965" s="4"/>
      <c r="G2965" s="4"/>
      <c r="H2965" s="4"/>
      <c r="I2965" s="4"/>
      <c r="J2965" s="4"/>
      <c r="K2965" s="4"/>
      <c r="L2965" s="4"/>
      <c r="M2965" s="4"/>
      <c r="N2965" s="4"/>
      <c r="O2965" s="4"/>
      <c r="P2965" s="4"/>
      <c r="Q2965" s="4"/>
      <c r="R2965" s="4"/>
      <c r="S2965" s="4"/>
      <c r="T2965" s="4"/>
      <c r="U2965" s="4"/>
      <c r="V2965" s="4"/>
      <c r="W2965" s="4"/>
      <c r="X2965" s="4"/>
      <c r="Y2965" s="4"/>
      <c r="Z2965" s="4"/>
      <c r="AA2965" s="4"/>
      <c r="AB2965" s="5"/>
    </row>
    <row r="2966" spans="1:28" x14ac:dyDescent="0.35">
      <c r="A2966" s="3"/>
      <c r="B2966" s="4"/>
      <c r="C2966" s="4"/>
      <c r="D2966" s="4"/>
      <c r="E2966" s="4"/>
      <c r="F2966" s="4"/>
      <c r="G2966" s="4"/>
      <c r="H2966" s="4"/>
      <c r="I2966" s="4"/>
      <c r="J2966" s="4"/>
      <c r="K2966" s="4"/>
      <c r="L2966" s="4"/>
      <c r="M2966" s="4"/>
      <c r="N2966" s="4"/>
      <c r="O2966" s="4"/>
      <c r="P2966" s="4"/>
      <c r="Q2966" s="4"/>
      <c r="R2966" s="4"/>
      <c r="S2966" s="4"/>
      <c r="T2966" s="4"/>
      <c r="U2966" s="4"/>
      <c r="V2966" s="4"/>
      <c r="W2966" s="4"/>
      <c r="X2966" s="4"/>
      <c r="Y2966" s="4"/>
      <c r="Z2966" s="4"/>
      <c r="AA2966" s="4"/>
      <c r="AB2966" s="5"/>
    </row>
    <row r="2967" spans="1:28" x14ac:dyDescent="0.35">
      <c r="A2967" s="3"/>
      <c r="B2967" s="4"/>
      <c r="C2967" s="4"/>
      <c r="D2967" s="4"/>
      <c r="E2967" s="4"/>
      <c r="F2967" s="4"/>
      <c r="G2967" s="4"/>
      <c r="H2967" s="4"/>
      <c r="I2967" s="4"/>
      <c r="J2967" s="4"/>
      <c r="K2967" s="4"/>
      <c r="L2967" s="4"/>
      <c r="M2967" s="4"/>
      <c r="N2967" s="4"/>
      <c r="O2967" s="4"/>
      <c r="P2967" s="4"/>
      <c r="Q2967" s="4"/>
      <c r="R2967" s="4"/>
      <c r="S2967" s="4"/>
      <c r="T2967" s="4"/>
      <c r="U2967" s="4"/>
      <c r="V2967" s="4"/>
      <c r="W2967" s="4"/>
      <c r="X2967" s="4"/>
      <c r="Y2967" s="4"/>
      <c r="Z2967" s="4"/>
      <c r="AA2967" s="4"/>
      <c r="AB2967" s="5"/>
    </row>
    <row r="2968" spans="1:28" x14ac:dyDescent="0.35">
      <c r="A2968" s="3"/>
      <c r="B2968" s="4"/>
      <c r="C2968" s="4"/>
      <c r="D2968" s="4"/>
      <c r="E2968" s="4"/>
      <c r="F2968" s="4"/>
      <c r="G2968" s="4"/>
      <c r="H2968" s="4"/>
      <c r="I2968" s="4"/>
      <c r="J2968" s="4"/>
      <c r="K2968" s="4"/>
      <c r="L2968" s="4"/>
      <c r="M2968" s="4"/>
      <c r="N2968" s="4"/>
      <c r="O2968" s="4"/>
      <c r="P2968" s="4"/>
      <c r="Q2968" s="4"/>
      <c r="R2968" s="4"/>
      <c r="S2968" s="4"/>
      <c r="T2968" s="4"/>
      <c r="U2968" s="4"/>
      <c r="V2968" s="4"/>
      <c r="W2968" s="4"/>
      <c r="X2968" s="4"/>
      <c r="Y2968" s="4"/>
      <c r="Z2968" s="4"/>
      <c r="AA2968" s="4"/>
      <c r="AB2968" s="5"/>
    </row>
    <row r="2969" spans="1:28" x14ac:dyDescent="0.35">
      <c r="A2969" s="3"/>
      <c r="B2969" s="4"/>
      <c r="C2969" s="4"/>
      <c r="D2969" s="4"/>
      <c r="E2969" s="4"/>
      <c r="F2969" s="4"/>
      <c r="G2969" s="4"/>
      <c r="H2969" s="4"/>
      <c r="I2969" s="4"/>
      <c r="J2969" s="4"/>
      <c r="K2969" s="4"/>
      <c r="L2969" s="4"/>
      <c r="M2969" s="4"/>
      <c r="N2969" s="4"/>
      <c r="O2969" s="4"/>
      <c r="P2969" s="4"/>
      <c r="Q2969" s="4"/>
      <c r="R2969" s="4"/>
      <c r="S2969" s="4"/>
      <c r="T2969" s="4"/>
      <c r="U2969" s="4"/>
      <c r="V2969" s="4"/>
      <c r="W2969" s="4"/>
      <c r="X2969" s="4"/>
      <c r="Y2969" s="4"/>
      <c r="Z2969" s="4"/>
      <c r="AA2969" s="4"/>
      <c r="AB2969" s="5"/>
    </row>
    <row r="2970" spans="1:28" x14ac:dyDescent="0.35">
      <c r="A2970" s="3"/>
      <c r="B2970" s="4"/>
      <c r="C2970" s="4"/>
      <c r="D2970" s="4"/>
      <c r="E2970" s="4"/>
      <c r="F2970" s="4"/>
      <c r="G2970" s="4"/>
      <c r="H2970" s="4"/>
      <c r="I2970" s="4"/>
      <c r="J2970" s="4"/>
      <c r="K2970" s="4"/>
      <c r="L2970" s="4"/>
      <c r="M2970" s="4"/>
      <c r="N2970" s="4"/>
      <c r="O2970" s="4"/>
      <c r="P2970" s="4"/>
      <c r="Q2970" s="4"/>
      <c r="R2970" s="4"/>
      <c r="S2970" s="4"/>
      <c r="T2970" s="4"/>
      <c r="U2970" s="4"/>
      <c r="V2970" s="4"/>
      <c r="W2970" s="4"/>
      <c r="X2970" s="4"/>
      <c r="Y2970" s="4"/>
      <c r="Z2970" s="4"/>
      <c r="AA2970" s="4"/>
      <c r="AB2970" s="5"/>
    </row>
    <row r="2971" spans="1:28" x14ac:dyDescent="0.35">
      <c r="A2971" s="3"/>
      <c r="B2971" s="4"/>
      <c r="C2971" s="4"/>
      <c r="D2971" s="4"/>
      <c r="E2971" s="4"/>
      <c r="F2971" s="4"/>
      <c r="G2971" s="4"/>
      <c r="H2971" s="4"/>
      <c r="I2971" s="4"/>
      <c r="J2971" s="4"/>
      <c r="K2971" s="4"/>
      <c r="L2971" s="4"/>
      <c r="M2971" s="4"/>
      <c r="N2971" s="4"/>
      <c r="O2971" s="4"/>
      <c r="P2971" s="4"/>
      <c r="Q2971" s="4"/>
      <c r="R2971" s="4"/>
      <c r="S2971" s="4"/>
      <c r="T2971" s="4"/>
      <c r="U2971" s="4"/>
      <c r="V2971" s="4"/>
      <c r="W2971" s="4"/>
      <c r="X2971" s="4"/>
      <c r="Y2971" s="4"/>
      <c r="Z2971" s="4"/>
      <c r="AA2971" s="4"/>
      <c r="AB2971" s="5"/>
    </row>
    <row r="2972" spans="1:28" x14ac:dyDescent="0.35">
      <c r="A2972" s="3"/>
      <c r="B2972" s="4"/>
      <c r="C2972" s="4"/>
      <c r="D2972" s="4"/>
      <c r="E2972" s="4"/>
      <c r="F2972" s="4"/>
      <c r="G2972" s="4"/>
      <c r="H2972" s="4"/>
      <c r="I2972" s="4"/>
      <c r="J2972" s="4"/>
      <c r="K2972" s="4"/>
      <c r="L2972" s="4"/>
      <c r="M2972" s="4"/>
      <c r="N2972" s="4"/>
      <c r="O2972" s="4"/>
      <c r="P2972" s="4"/>
      <c r="Q2972" s="4"/>
      <c r="R2972" s="4"/>
      <c r="S2972" s="4"/>
      <c r="T2972" s="4"/>
      <c r="U2972" s="4"/>
      <c r="V2972" s="4"/>
      <c r="W2972" s="4"/>
      <c r="X2972" s="4"/>
      <c r="Y2972" s="4"/>
      <c r="Z2972" s="4"/>
      <c r="AA2972" s="4"/>
      <c r="AB2972" s="5"/>
    </row>
    <row r="2973" spans="1:28" x14ac:dyDescent="0.35">
      <c r="A2973" s="3"/>
      <c r="B2973" s="4"/>
      <c r="C2973" s="4"/>
      <c r="D2973" s="4"/>
      <c r="E2973" s="4"/>
      <c r="F2973" s="4"/>
      <c r="G2973" s="4"/>
      <c r="H2973" s="4"/>
      <c r="I2973" s="4"/>
      <c r="J2973" s="4"/>
      <c r="K2973" s="4"/>
      <c r="L2973" s="4"/>
      <c r="M2973" s="4"/>
      <c r="N2973" s="4"/>
      <c r="O2973" s="4"/>
      <c r="P2973" s="4"/>
      <c r="Q2973" s="4"/>
      <c r="R2973" s="4"/>
      <c r="S2973" s="4"/>
      <c r="T2973" s="4"/>
      <c r="U2973" s="4"/>
      <c r="V2973" s="4"/>
      <c r="W2973" s="4"/>
      <c r="X2973" s="4"/>
      <c r="Y2973" s="4"/>
      <c r="Z2973" s="4"/>
      <c r="AA2973" s="4"/>
      <c r="AB2973" s="5"/>
    </row>
    <row r="2974" spans="1:28" x14ac:dyDescent="0.35">
      <c r="A2974" s="3"/>
      <c r="B2974" s="4"/>
      <c r="C2974" s="4"/>
      <c r="D2974" s="4"/>
      <c r="E2974" s="4"/>
      <c r="F2974" s="4"/>
      <c r="G2974" s="4"/>
      <c r="H2974" s="4"/>
      <c r="I2974" s="4"/>
      <c r="J2974" s="4"/>
      <c r="K2974" s="4"/>
      <c r="L2974" s="4"/>
      <c r="M2974" s="4"/>
      <c r="N2974" s="4"/>
      <c r="O2974" s="4"/>
      <c r="P2974" s="4"/>
      <c r="Q2974" s="4"/>
      <c r="R2974" s="4"/>
      <c r="S2974" s="4"/>
      <c r="T2974" s="4"/>
      <c r="U2974" s="4"/>
      <c r="V2974" s="4"/>
      <c r="W2974" s="4"/>
      <c r="X2974" s="4"/>
      <c r="Y2974" s="4"/>
      <c r="Z2974" s="4"/>
      <c r="AA2974" s="4"/>
      <c r="AB2974" s="5"/>
    </row>
    <row r="2975" spans="1:28" x14ac:dyDescent="0.35">
      <c r="A2975" s="3"/>
      <c r="B2975" s="4"/>
      <c r="C2975" s="4"/>
      <c r="D2975" s="4"/>
      <c r="E2975" s="4"/>
      <c r="F2975" s="4"/>
      <c r="G2975" s="4"/>
      <c r="H2975" s="4"/>
      <c r="I2975" s="4"/>
      <c r="J2975" s="4"/>
      <c r="K2975" s="4"/>
      <c r="L2975" s="4"/>
      <c r="M2975" s="4"/>
      <c r="N2975" s="4"/>
      <c r="O2975" s="4"/>
      <c r="P2975" s="4"/>
      <c r="Q2975" s="4"/>
      <c r="R2975" s="4"/>
      <c r="S2975" s="4"/>
      <c r="T2975" s="4"/>
      <c r="U2975" s="4"/>
      <c r="V2975" s="4"/>
      <c r="W2975" s="4"/>
      <c r="X2975" s="4"/>
      <c r="Y2975" s="4"/>
      <c r="Z2975" s="4"/>
      <c r="AA2975" s="4"/>
      <c r="AB2975" s="5"/>
    </row>
    <row r="2976" spans="1:28" x14ac:dyDescent="0.35">
      <c r="A2976" s="3"/>
      <c r="B2976" s="4"/>
      <c r="C2976" s="4"/>
      <c r="D2976" s="4"/>
      <c r="E2976" s="4"/>
      <c r="F2976" s="4"/>
      <c r="G2976" s="4"/>
      <c r="H2976" s="4"/>
      <c r="I2976" s="4"/>
      <c r="J2976" s="4"/>
      <c r="K2976" s="4"/>
      <c r="L2976" s="4"/>
      <c r="M2976" s="4"/>
      <c r="N2976" s="4"/>
      <c r="O2976" s="4"/>
      <c r="P2976" s="4"/>
      <c r="Q2976" s="4"/>
      <c r="R2976" s="4"/>
      <c r="S2976" s="4"/>
      <c r="T2976" s="4"/>
      <c r="U2976" s="4"/>
      <c r="V2976" s="4"/>
      <c r="W2976" s="4"/>
      <c r="X2976" s="4"/>
      <c r="Y2976" s="4"/>
      <c r="Z2976" s="4"/>
      <c r="AA2976" s="4"/>
      <c r="AB2976" s="5"/>
    </row>
    <row r="2977" spans="1:28" x14ac:dyDescent="0.35">
      <c r="A2977" s="3"/>
      <c r="B2977" s="4"/>
      <c r="C2977" s="4"/>
      <c r="D2977" s="4"/>
      <c r="E2977" s="4"/>
      <c r="F2977" s="4"/>
      <c r="G2977" s="4"/>
      <c r="H2977" s="4"/>
      <c r="I2977" s="4"/>
      <c r="J2977" s="4"/>
      <c r="K2977" s="4"/>
      <c r="L2977" s="4"/>
      <c r="M2977" s="4"/>
      <c r="N2977" s="4"/>
      <c r="O2977" s="4"/>
      <c r="P2977" s="4"/>
      <c r="Q2977" s="4"/>
      <c r="R2977" s="4"/>
      <c r="S2977" s="4"/>
      <c r="T2977" s="4"/>
      <c r="U2977" s="4"/>
      <c r="V2977" s="4"/>
      <c r="W2977" s="4"/>
      <c r="X2977" s="4"/>
      <c r="Y2977" s="4"/>
      <c r="Z2977" s="4"/>
      <c r="AA2977" s="4"/>
      <c r="AB2977" s="5"/>
    </row>
    <row r="2978" spans="1:28" x14ac:dyDescent="0.35">
      <c r="A2978" s="3"/>
      <c r="B2978" s="4"/>
      <c r="C2978" s="4"/>
      <c r="D2978" s="4"/>
      <c r="E2978" s="4"/>
      <c r="F2978" s="4"/>
      <c r="G2978" s="4"/>
      <c r="H2978" s="4"/>
      <c r="I2978" s="4"/>
      <c r="J2978" s="4"/>
      <c r="K2978" s="4"/>
      <c r="L2978" s="4"/>
      <c r="M2978" s="4"/>
      <c r="N2978" s="4"/>
      <c r="O2978" s="4"/>
      <c r="P2978" s="4"/>
      <c r="Q2978" s="4"/>
      <c r="R2978" s="4"/>
      <c r="S2978" s="4"/>
      <c r="T2978" s="4"/>
      <c r="U2978" s="4"/>
      <c r="V2978" s="4"/>
      <c r="W2978" s="4"/>
      <c r="X2978" s="4"/>
      <c r="Y2978" s="4"/>
      <c r="Z2978" s="4"/>
      <c r="AA2978" s="4"/>
      <c r="AB2978" s="5"/>
    </row>
    <row r="2979" spans="1:28" x14ac:dyDescent="0.35">
      <c r="A2979" s="3"/>
      <c r="B2979" s="4"/>
      <c r="C2979" s="4"/>
      <c r="D2979" s="4"/>
      <c r="E2979" s="4"/>
      <c r="F2979" s="4"/>
      <c r="G2979" s="4"/>
      <c r="H2979" s="4"/>
      <c r="I2979" s="4"/>
      <c r="J2979" s="4"/>
      <c r="K2979" s="4"/>
      <c r="L2979" s="4"/>
      <c r="M2979" s="4"/>
      <c r="N2979" s="4"/>
      <c r="O2979" s="4"/>
      <c r="P2979" s="4"/>
      <c r="Q2979" s="4"/>
      <c r="R2979" s="4"/>
      <c r="S2979" s="4"/>
      <c r="T2979" s="4"/>
      <c r="U2979" s="4"/>
      <c r="V2979" s="4"/>
      <c r="W2979" s="4"/>
      <c r="X2979" s="4"/>
      <c r="Y2979" s="4"/>
      <c r="Z2979" s="4"/>
      <c r="AA2979" s="4"/>
      <c r="AB2979" s="5"/>
    </row>
    <row r="2980" spans="1:28" x14ac:dyDescent="0.35">
      <c r="A2980" s="3"/>
      <c r="B2980" s="4"/>
      <c r="C2980" s="4"/>
      <c r="D2980" s="4"/>
      <c r="E2980" s="4"/>
      <c r="F2980" s="4"/>
      <c r="G2980" s="4"/>
      <c r="H2980" s="4"/>
      <c r="I2980" s="4"/>
      <c r="J2980" s="4"/>
      <c r="K2980" s="4"/>
      <c r="L2980" s="4"/>
      <c r="M2980" s="4"/>
      <c r="N2980" s="4"/>
      <c r="O2980" s="4"/>
      <c r="P2980" s="4"/>
      <c r="Q2980" s="4"/>
      <c r="R2980" s="4"/>
      <c r="S2980" s="4"/>
      <c r="T2980" s="4"/>
      <c r="U2980" s="4"/>
      <c r="V2980" s="4"/>
      <c r="W2980" s="4"/>
      <c r="X2980" s="4"/>
      <c r="Y2980" s="4"/>
      <c r="Z2980" s="4"/>
      <c r="AA2980" s="4"/>
      <c r="AB2980" s="5"/>
    </row>
    <row r="2981" spans="1:28" x14ac:dyDescent="0.35">
      <c r="A2981" s="3"/>
      <c r="B2981" s="4"/>
      <c r="C2981" s="4"/>
      <c r="D2981" s="4"/>
      <c r="E2981" s="4"/>
      <c r="F2981" s="4"/>
      <c r="G2981" s="4"/>
      <c r="H2981" s="4"/>
      <c r="I2981" s="4"/>
      <c r="J2981" s="4"/>
      <c r="K2981" s="4"/>
      <c r="L2981" s="4"/>
      <c r="M2981" s="4"/>
      <c r="N2981" s="4"/>
      <c r="O2981" s="4"/>
      <c r="P2981" s="4"/>
      <c r="Q2981" s="4"/>
      <c r="R2981" s="4"/>
      <c r="S2981" s="4"/>
      <c r="T2981" s="4"/>
      <c r="U2981" s="4"/>
      <c r="V2981" s="4"/>
      <c r="W2981" s="4"/>
      <c r="X2981" s="4"/>
      <c r="Y2981" s="4"/>
      <c r="Z2981" s="4"/>
      <c r="AA2981" s="4"/>
      <c r="AB2981" s="5"/>
    </row>
    <row r="2982" spans="1:28" x14ac:dyDescent="0.35">
      <c r="A2982" s="3"/>
      <c r="B2982" s="4"/>
      <c r="C2982" s="4"/>
      <c r="D2982" s="4"/>
      <c r="E2982" s="4"/>
      <c r="F2982" s="4"/>
      <c r="G2982" s="4"/>
      <c r="H2982" s="4"/>
      <c r="I2982" s="4"/>
      <c r="J2982" s="4"/>
      <c r="K2982" s="4"/>
      <c r="L2982" s="4"/>
      <c r="M2982" s="4"/>
      <c r="N2982" s="4"/>
      <c r="O2982" s="4"/>
      <c r="P2982" s="4"/>
      <c r="Q2982" s="4"/>
      <c r="R2982" s="4"/>
      <c r="S2982" s="4"/>
      <c r="T2982" s="4"/>
      <c r="U2982" s="4"/>
      <c r="V2982" s="4"/>
      <c r="W2982" s="4"/>
      <c r="X2982" s="4"/>
      <c r="Y2982" s="4"/>
      <c r="Z2982" s="4"/>
      <c r="AA2982" s="4"/>
      <c r="AB2982" s="5"/>
    </row>
    <row r="2983" spans="1:28" x14ac:dyDescent="0.35">
      <c r="A2983" s="3"/>
      <c r="B2983" s="4"/>
      <c r="C2983" s="4"/>
      <c r="D2983" s="4"/>
      <c r="E2983" s="4"/>
      <c r="F2983" s="4"/>
      <c r="G2983" s="4"/>
      <c r="H2983" s="4"/>
      <c r="I2983" s="4"/>
      <c r="J2983" s="4"/>
      <c r="K2983" s="4"/>
      <c r="L2983" s="4"/>
      <c r="M2983" s="4"/>
      <c r="N2983" s="4"/>
      <c r="O2983" s="4"/>
      <c r="P2983" s="4"/>
      <c r="Q2983" s="4"/>
      <c r="R2983" s="4"/>
      <c r="S2983" s="4"/>
      <c r="T2983" s="4"/>
      <c r="U2983" s="4"/>
      <c r="V2983" s="4"/>
      <c r="W2983" s="4"/>
      <c r="X2983" s="4"/>
      <c r="Y2983" s="4"/>
      <c r="Z2983" s="4"/>
      <c r="AA2983" s="4"/>
      <c r="AB2983" s="5"/>
    </row>
    <row r="2984" spans="1:28" x14ac:dyDescent="0.35">
      <c r="A2984" s="3"/>
      <c r="B2984" s="4"/>
      <c r="C2984" s="4"/>
      <c r="D2984" s="4"/>
      <c r="E2984" s="4"/>
      <c r="F2984" s="4"/>
      <c r="G2984" s="4"/>
      <c r="H2984" s="4"/>
      <c r="I2984" s="4"/>
      <c r="J2984" s="4"/>
      <c r="K2984" s="4"/>
      <c r="L2984" s="4"/>
      <c r="M2984" s="4"/>
      <c r="N2984" s="4"/>
      <c r="O2984" s="4"/>
      <c r="P2984" s="4"/>
      <c r="Q2984" s="4"/>
      <c r="R2984" s="4"/>
      <c r="S2984" s="4"/>
      <c r="T2984" s="4"/>
      <c r="U2984" s="4"/>
      <c r="V2984" s="4"/>
      <c r="W2984" s="4"/>
      <c r="X2984" s="4"/>
      <c r="Y2984" s="4"/>
      <c r="Z2984" s="4"/>
      <c r="AA2984" s="4"/>
      <c r="AB2984" s="5"/>
    </row>
    <row r="2985" spans="1:28" x14ac:dyDescent="0.35">
      <c r="A2985" s="3"/>
      <c r="B2985" s="4"/>
      <c r="C2985" s="4"/>
      <c r="D2985" s="4"/>
      <c r="E2985" s="4"/>
      <c r="F2985" s="4"/>
      <c r="G2985" s="4"/>
      <c r="H2985" s="4"/>
      <c r="I2985" s="4"/>
      <c r="J2985" s="4"/>
      <c r="K2985" s="4"/>
      <c r="L2985" s="4"/>
      <c r="M2985" s="4"/>
      <c r="N2985" s="4"/>
      <c r="O2985" s="4"/>
      <c r="P2985" s="4"/>
      <c r="Q2985" s="4"/>
      <c r="R2985" s="4"/>
      <c r="S2985" s="4"/>
      <c r="T2985" s="4"/>
      <c r="U2985" s="4"/>
      <c r="V2985" s="4"/>
      <c r="W2985" s="4"/>
      <c r="X2985" s="4"/>
      <c r="Y2985" s="4"/>
      <c r="Z2985" s="4"/>
      <c r="AA2985" s="4"/>
      <c r="AB2985" s="5"/>
    </row>
    <row r="2986" spans="1:28" x14ac:dyDescent="0.35">
      <c r="A2986" s="3"/>
      <c r="B2986" s="4"/>
      <c r="C2986" s="4"/>
      <c r="D2986" s="4"/>
      <c r="E2986" s="4"/>
      <c r="F2986" s="4"/>
      <c r="G2986" s="4"/>
      <c r="H2986" s="4"/>
      <c r="I2986" s="4"/>
      <c r="J2986" s="4"/>
      <c r="K2986" s="4"/>
      <c r="L2986" s="4"/>
      <c r="M2986" s="4"/>
      <c r="N2986" s="4"/>
      <c r="O2986" s="4"/>
      <c r="P2986" s="4"/>
      <c r="Q2986" s="4"/>
      <c r="R2986" s="4"/>
      <c r="S2986" s="4"/>
      <c r="T2986" s="4"/>
      <c r="U2986" s="4"/>
      <c r="V2986" s="4"/>
      <c r="W2986" s="4"/>
      <c r="X2986" s="4"/>
      <c r="Y2986" s="4"/>
      <c r="Z2986" s="4"/>
      <c r="AA2986" s="4"/>
      <c r="AB2986" s="5"/>
    </row>
    <row r="2987" spans="1:28" x14ac:dyDescent="0.35">
      <c r="A2987" s="3"/>
      <c r="B2987" s="4"/>
      <c r="C2987" s="4"/>
      <c r="D2987" s="4"/>
      <c r="E2987" s="4"/>
      <c r="F2987" s="4"/>
      <c r="G2987" s="4"/>
      <c r="H2987" s="4"/>
      <c r="I2987" s="4"/>
      <c r="J2987" s="4"/>
      <c r="K2987" s="4"/>
      <c r="L2987" s="4"/>
      <c r="M2987" s="4"/>
      <c r="N2987" s="4"/>
      <c r="O2987" s="4"/>
      <c r="P2987" s="4"/>
      <c r="Q2987" s="4"/>
      <c r="R2987" s="4"/>
      <c r="S2987" s="4"/>
      <c r="T2987" s="4"/>
      <c r="U2987" s="4"/>
      <c r="V2987" s="4"/>
      <c r="W2987" s="4"/>
      <c r="X2987" s="4"/>
      <c r="Y2987" s="4"/>
      <c r="Z2987" s="4"/>
      <c r="AA2987" s="4"/>
      <c r="AB2987" s="5"/>
    </row>
    <row r="2988" spans="1:28" x14ac:dyDescent="0.35">
      <c r="A2988" s="3"/>
      <c r="B2988" s="4"/>
      <c r="C2988" s="4"/>
      <c r="D2988" s="4"/>
      <c r="E2988" s="4"/>
      <c r="F2988" s="4"/>
      <c r="G2988" s="4"/>
      <c r="H2988" s="4"/>
      <c r="I2988" s="4"/>
      <c r="J2988" s="4"/>
      <c r="K2988" s="4"/>
      <c r="L2988" s="4"/>
      <c r="M2988" s="4"/>
      <c r="N2988" s="4"/>
      <c r="O2988" s="4"/>
      <c r="P2988" s="4"/>
      <c r="Q2988" s="4"/>
      <c r="R2988" s="4"/>
      <c r="S2988" s="4"/>
      <c r="T2988" s="4"/>
      <c r="U2988" s="4"/>
      <c r="V2988" s="4"/>
      <c r="W2988" s="4"/>
      <c r="X2988" s="4"/>
      <c r="Y2988" s="4"/>
      <c r="Z2988" s="4"/>
      <c r="AA2988" s="4"/>
      <c r="AB2988" s="5"/>
    </row>
    <row r="2989" spans="1:28" x14ac:dyDescent="0.35">
      <c r="A2989" s="3"/>
      <c r="B2989" s="4"/>
      <c r="C2989" s="4"/>
      <c r="D2989" s="4"/>
      <c r="E2989" s="4"/>
      <c r="F2989" s="4"/>
      <c r="G2989" s="4"/>
      <c r="H2989" s="4"/>
      <c r="I2989" s="4"/>
      <c r="J2989" s="4"/>
      <c r="K2989" s="4"/>
      <c r="L2989" s="4"/>
      <c r="M2989" s="4"/>
      <c r="N2989" s="4"/>
      <c r="O2989" s="4"/>
      <c r="P2989" s="4"/>
      <c r="Q2989" s="4"/>
      <c r="R2989" s="4"/>
      <c r="S2989" s="4"/>
      <c r="T2989" s="4"/>
      <c r="U2989" s="4"/>
      <c r="V2989" s="4"/>
      <c r="W2989" s="4"/>
      <c r="X2989" s="4"/>
      <c r="Y2989" s="4"/>
      <c r="Z2989" s="4"/>
      <c r="AA2989" s="4"/>
      <c r="AB2989" s="5"/>
    </row>
    <row r="2990" spans="1:28" x14ac:dyDescent="0.35">
      <c r="A2990" s="3"/>
      <c r="B2990" s="4"/>
      <c r="C2990" s="4"/>
      <c r="D2990" s="4"/>
      <c r="E2990" s="4"/>
      <c r="F2990" s="4"/>
      <c r="G2990" s="4"/>
      <c r="H2990" s="4"/>
      <c r="I2990" s="4"/>
      <c r="J2990" s="4"/>
      <c r="K2990" s="4"/>
      <c r="L2990" s="4"/>
      <c r="M2990" s="4"/>
      <c r="N2990" s="4"/>
      <c r="O2990" s="4"/>
      <c r="P2990" s="4"/>
      <c r="Q2990" s="4"/>
      <c r="R2990" s="4"/>
      <c r="S2990" s="4"/>
      <c r="T2990" s="4"/>
      <c r="U2990" s="4"/>
      <c r="V2990" s="4"/>
      <c r="W2990" s="4"/>
      <c r="X2990" s="4"/>
      <c r="Y2990" s="4"/>
      <c r="Z2990" s="4"/>
      <c r="AA2990" s="4"/>
      <c r="AB2990" s="5"/>
    </row>
    <row r="2991" spans="1:28" x14ac:dyDescent="0.35">
      <c r="A2991" s="3"/>
      <c r="B2991" s="4"/>
      <c r="C2991" s="4"/>
      <c r="D2991" s="4"/>
      <c r="E2991" s="4"/>
      <c r="F2991" s="4"/>
      <c r="G2991" s="4"/>
      <c r="H2991" s="4"/>
      <c r="I2991" s="4"/>
      <c r="J2991" s="4"/>
      <c r="K2991" s="4"/>
      <c r="L2991" s="4"/>
      <c r="M2991" s="4"/>
      <c r="N2991" s="4"/>
      <c r="O2991" s="4"/>
      <c r="P2991" s="4"/>
      <c r="Q2991" s="4"/>
      <c r="R2991" s="4"/>
      <c r="S2991" s="4"/>
      <c r="T2991" s="4"/>
      <c r="U2991" s="4"/>
      <c r="V2991" s="4"/>
      <c r="W2991" s="4"/>
      <c r="X2991" s="4"/>
      <c r="Y2991" s="4"/>
      <c r="Z2991" s="4"/>
      <c r="AA2991" s="4"/>
      <c r="AB2991" s="5"/>
    </row>
    <row r="2992" spans="1:28" x14ac:dyDescent="0.35">
      <c r="A2992" s="3"/>
      <c r="B2992" s="4"/>
      <c r="C2992" s="4"/>
      <c r="D2992" s="4"/>
      <c r="E2992" s="4"/>
      <c r="F2992" s="4"/>
      <c r="G2992" s="4"/>
      <c r="H2992" s="4"/>
      <c r="I2992" s="4"/>
      <c r="J2992" s="4"/>
      <c r="K2992" s="4"/>
      <c r="L2992" s="4"/>
      <c r="M2992" s="4"/>
      <c r="N2992" s="4"/>
      <c r="O2992" s="4"/>
      <c r="P2992" s="4"/>
      <c r="Q2992" s="4"/>
      <c r="R2992" s="4"/>
      <c r="S2992" s="4"/>
      <c r="T2992" s="4"/>
      <c r="U2992" s="4"/>
      <c r="V2992" s="4"/>
      <c r="W2992" s="4"/>
      <c r="X2992" s="4"/>
      <c r="Y2992" s="4"/>
      <c r="Z2992" s="4"/>
      <c r="AA2992" s="4"/>
      <c r="AB2992" s="5"/>
    </row>
    <row r="2993" spans="1:28" x14ac:dyDescent="0.35">
      <c r="A2993" s="3"/>
      <c r="B2993" s="4"/>
      <c r="C2993" s="4"/>
      <c r="D2993" s="4"/>
      <c r="E2993" s="4"/>
      <c r="F2993" s="4"/>
      <c r="G2993" s="4"/>
      <c r="H2993" s="4"/>
      <c r="I2993" s="4"/>
      <c r="J2993" s="4"/>
      <c r="K2993" s="4"/>
      <c r="L2993" s="4"/>
      <c r="M2993" s="4"/>
      <c r="N2993" s="4"/>
      <c r="O2993" s="4"/>
      <c r="P2993" s="4"/>
      <c r="Q2993" s="4"/>
      <c r="R2993" s="4"/>
      <c r="S2993" s="4"/>
      <c r="T2993" s="4"/>
      <c r="U2993" s="4"/>
      <c r="V2993" s="4"/>
      <c r="W2993" s="4"/>
      <c r="X2993" s="4"/>
      <c r="Y2993" s="4"/>
      <c r="Z2993" s="4"/>
      <c r="AA2993" s="4"/>
      <c r="AB2993" s="5"/>
    </row>
    <row r="2994" spans="1:28" x14ac:dyDescent="0.35">
      <c r="A2994" s="3"/>
      <c r="B2994" s="4"/>
      <c r="C2994" s="4"/>
      <c r="D2994" s="4"/>
      <c r="E2994" s="4"/>
      <c r="F2994" s="4"/>
      <c r="G2994" s="4"/>
      <c r="H2994" s="4"/>
      <c r="I2994" s="4"/>
      <c r="J2994" s="4"/>
      <c r="K2994" s="4"/>
      <c r="L2994" s="4"/>
      <c r="M2994" s="4"/>
      <c r="N2994" s="4"/>
      <c r="O2994" s="4"/>
      <c r="P2994" s="4"/>
      <c r="Q2994" s="4"/>
      <c r="R2994" s="4"/>
      <c r="S2994" s="4"/>
      <c r="T2994" s="4"/>
      <c r="U2994" s="4"/>
      <c r="V2994" s="4"/>
      <c r="W2994" s="4"/>
      <c r="X2994" s="4"/>
      <c r="Y2994" s="4"/>
      <c r="Z2994" s="4"/>
      <c r="AA2994" s="4"/>
      <c r="AB2994" s="5"/>
    </row>
    <row r="2995" spans="1:28" x14ac:dyDescent="0.35">
      <c r="A2995" s="3"/>
      <c r="B2995" s="4"/>
      <c r="C2995" s="4"/>
      <c r="D2995" s="4"/>
      <c r="E2995" s="4"/>
      <c r="F2995" s="4"/>
      <c r="G2995" s="4"/>
      <c r="H2995" s="4"/>
      <c r="I2995" s="4"/>
      <c r="J2995" s="4"/>
      <c r="K2995" s="4"/>
      <c r="L2995" s="4"/>
      <c r="M2995" s="4"/>
      <c r="N2995" s="4"/>
      <c r="O2995" s="4"/>
      <c r="P2995" s="4"/>
      <c r="Q2995" s="4"/>
      <c r="R2995" s="4"/>
      <c r="S2995" s="4"/>
      <c r="T2995" s="4"/>
      <c r="U2995" s="4"/>
      <c r="V2995" s="4"/>
      <c r="W2995" s="4"/>
      <c r="X2995" s="4"/>
      <c r="Y2995" s="4"/>
      <c r="Z2995" s="4"/>
      <c r="AA2995" s="4"/>
      <c r="AB2995" s="5"/>
    </row>
    <row r="2996" spans="1:28" x14ac:dyDescent="0.35">
      <c r="A2996" s="3"/>
      <c r="B2996" s="4"/>
      <c r="C2996" s="4"/>
      <c r="D2996" s="4"/>
      <c r="E2996" s="4"/>
      <c r="F2996" s="4"/>
      <c r="G2996" s="4"/>
      <c r="H2996" s="4"/>
      <c r="I2996" s="4"/>
      <c r="J2996" s="4"/>
      <c r="K2996" s="4"/>
      <c r="L2996" s="4"/>
      <c r="M2996" s="4"/>
      <c r="N2996" s="4"/>
      <c r="O2996" s="4"/>
      <c r="P2996" s="4"/>
      <c r="Q2996" s="4"/>
      <c r="R2996" s="4"/>
      <c r="S2996" s="4"/>
      <c r="T2996" s="4"/>
      <c r="U2996" s="4"/>
      <c r="V2996" s="4"/>
      <c r="W2996" s="4"/>
      <c r="X2996" s="4"/>
      <c r="Y2996" s="4"/>
      <c r="Z2996" s="4"/>
      <c r="AA2996" s="4"/>
      <c r="AB2996" s="5"/>
    </row>
    <row r="2997" spans="1:28" x14ac:dyDescent="0.35">
      <c r="A2997" s="3"/>
      <c r="B2997" s="4"/>
      <c r="C2997" s="4"/>
      <c r="D2997" s="4"/>
      <c r="E2997" s="4"/>
      <c r="F2997" s="4"/>
      <c r="G2997" s="4"/>
      <c r="H2997" s="4"/>
      <c r="I2997" s="4"/>
      <c r="J2997" s="4"/>
      <c r="K2997" s="4"/>
      <c r="L2997" s="4"/>
      <c r="M2997" s="4"/>
      <c r="N2997" s="4"/>
      <c r="O2997" s="4"/>
      <c r="P2997" s="4"/>
      <c r="Q2997" s="4"/>
      <c r="R2997" s="4"/>
      <c r="S2997" s="4"/>
      <c r="T2997" s="4"/>
      <c r="U2997" s="4"/>
      <c r="V2997" s="4"/>
      <c r="W2997" s="4"/>
      <c r="X2997" s="4"/>
      <c r="Y2997" s="4"/>
      <c r="Z2997" s="4"/>
      <c r="AA2997" s="4"/>
      <c r="AB2997" s="5"/>
    </row>
    <row r="2998" spans="1:28" x14ac:dyDescent="0.35">
      <c r="A2998" s="3"/>
      <c r="B2998" s="4"/>
      <c r="C2998" s="4"/>
      <c r="D2998" s="4"/>
      <c r="E2998" s="4"/>
      <c r="F2998" s="4"/>
      <c r="G2998" s="4"/>
      <c r="H2998" s="4"/>
      <c r="I2998" s="4"/>
      <c r="J2998" s="4"/>
      <c r="K2998" s="4"/>
      <c r="L2998" s="4"/>
      <c r="M2998" s="4"/>
      <c r="N2998" s="4"/>
      <c r="O2998" s="4"/>
      <c r="P2998" s="4"/>
      <c r="Q2998" s="4"/>
      <c r="R2998" s="4"/>
      <c r="S2998" s="4"/>
      <c r="T2998" s="4"/>
      <c r="U2998" s="4"/>
      <c r="V2998" s="4"/>
      <c r="W2998" s="4"/>
      <c r="X2998" s="4"/>
      <c r="Y2998" s="4"/>
      <c r="Z2998" s="4"/>
      <c r="AA2998" s="4"/>
      <c r="AB2998" s="5"/>
    </row>
    <row r="2999" spans="1:28" x14ac:dyDescent="0.35">
      <c r="A2999" s="3"/>
      <c r="B2999" s="4"/>
      <c r="C2999" s="4"/>
      <c r="D2999" s="4"/>
      <c r="E2999" s="4"/>
      <c r="F2999" s="4"/>
      <c r="G2999" s="4"/>
      <c r="H2999" s="4"/>
      <c r="I2999" s="4"/>
      <c r="J2999" s="4"/>
      <c r="K2999" s="4"/>
      <c r="L2999" s="4"/>
      <c r="M2999" s="4"/>
      <c r="N2999" s="4"/>
      <c r="O2999" s="4"/>
      <c r="P2999" s="4"/>
      <c r="Q2999" s="4"/>
      <c r="R2999" s="4"/>
      <c r="S2999" s="4"/>
      <c r="T2999" s="4"/>
      <c r="U2999" s="4"/>
      <c r="V2999" s="4"/>
      <c r="W2999" s="4"/>
      <c r="X2999" s="4"/>
      <c r="Y2999" s="4"/>
      <c r="Z2999" s="4"/>
      <c r="AA2999" s="4"/>
      <c r="AB2999" s="5"/>
    </row>
    <row r="3000" spans="1:28" x14ac:dyDescent="0.35">
      <c r="A3000" s="3"/>
      <c r="B3000" s="4"/>
      <c r="C3000" s="4"/>
      <c r="D3000" s="4"/>
      <c r="E3000" s="4"/>
      <c r="F3000" s="4"/>
      <c r="G3000" s="4"/>
      <c r="H3000" s="4"/>
      <c r="I3000" s="4"/>
      <c r="J3000" s="4"/>
      <c r="K3000" s="4"/>
      <c r="L3000" s="4"/>
      <c r="M3000" s="4"/>
      <c r="N3000" s="4"/>
      <c r="O3000" s="4"/>
      <c r="P3000" s="4"/>
      <c r="Q3000" s="4"/>
      <c r="R3000" s="4"/>
      <c r="S3000" s="4"/>
      <c r="T3000" s="4"/>
      <c r="U3000" s="4"/>
      <c r="V3000" s="4"/>
      <c r="W3000" s="4"/>
      <c r="X3000" s="4"/>
      <c r="Y3000" s="4"/>
      <c r="Z3000" s="4"/>
      <c r="AA3000" s="4"/>
      <c r="AB3000" s="5"/>
    </row>
    <row r="3001" spans="1:28" x14ac:dyDescent="0.35">
      <c r="A3001" s="3"/>
      <c r="B3001" s="4"/>
      <c r="C3001" s="4"/>
      <c r="D3001" s="4"/>
      <c r="E3001" s="4"/>
      <c r="F3001" s="4"/>
      <c r="G3001" s="4"/>
      <c r="H3001" s="4"/>
      <c r="I3001" s="4"/>
      <c r="J3001" s="4"/>
      <c r="K3001" s="4"/>
      <c r="L3001" s="4"/>
      <c r="M3001" s="4"/>
      <c r="N3001" s="4"/>
      <c r="O3001" s="4"/>
      <c r="P3001" s="4"/>
      <c r="Q3001" s="4"/>
      <c r="R3001" s="4"/>
      <c r="S3001" s="4"/>
      <c r="T3001" s="4"/>
      <c r="U3001" s="4"/>
      <c r="V3001" s="4"/>
      <c r="W3001" s="4"/>
      <c r="X3001" s="4"/>
      <c r="Y3001" s="4"/>
      <c r="Z3001" s="4"/>
      <c r="AA3001" s="4"/>
      <c r="AB3001" s="5"/>
    </row>
    <row r="3002" spans="1:28" x14ac:dyDescent="0.35">
      <c r="A3002" s="3"/>
      <c r="B3002" s="4"/>
      <c r="C3002" s="4"/>
      <c r="D3002" s="4"/>
      <c r="E3002" s="4"/>
      <c r="F3002" s="4"/>
      <c r="G3002" s="4"/>
      <c r="H3002" s="4"/>
      <c r="I3002" s="4"/>
      <c r="J3002" s="4"/>
      <c r="K3002" s="4"/>
      <c r="L3002" s="4"/>
      <c r="M3002" s="4"/>
      <c r="N3002" s="4"/>
      <c r="O3002" s="4"/>
      <c r="P3002" s="4"/>
      <c r="Q3002" s="4"/>
      <c r="R3002" s="4"/>
      <c r="S3002" s="4"/>
      <c r="T3002" s="4"/>
      <c r="U3002" s="4"/>
      <c r="V3002" s="4"/>
      <c r="W3002" s="4"/>
      <c r="X3002" s="4"/>
      <c r="Y3002" s="4"/>
      <c r="Z3002" s="4"/>
      <c r="AA3002" s="4"/>
      <c r="AB3002" s="5"/>
    </row>
    <row r="3003" spans="1:28" x14ac:dyDescent="0.35">
      <c r="A3003" s="3"/>
      <c r="B3003" s="4"/>
      <c r="C3003" s="4"/>
      <c r="D3003" s="4"/>
      <c r="E3003" s="4"/>
      <c r="F3003" s="4"/>
      <c r="G3003" s="4"/>
      <c r="H3003" s="4"/>
      <c r="I3003" s="4"/>
      <c r="J3003" s="4"/>
      <c r="K3003" s="4"/>
      <c r="L3003" s="4"/>
      <c r="M3003" s="4"/>
      <c r="N3003" s="4"/>
      <c r="O3003" s="4"/>
      <c r="P3003" s="4"/>
      <c r="Q3003" s="4"/>
      <c r="R3003" s="4"/>
      <c r="S3003" s="4"/>
      <c r="T3003" s="4"/>
      <c r="U3003" s="4"/>
      <c r="V3003" s="4"/>
      <c r="W3003" s="4"/>
      <c r="X3003" s="4"/>
      <c r="Y3003" s="4"/>
      <c r="Z3003" s="4"/>
      <c r="AA3003" s="4"/>
      <c r="AB3003" s="5"/>
    </row>
    <row r="3004" spans="1:28" x14ac:dyDescent="0.35">
      <c r="A3004" s="3"/>
      <c r="B3004" s="4"/>
      <c r="C3004" s="4"/>
      <c r="D3004" s="4"/>
      <c r="E3004" s="4"/>
      <c r="F3004" s="4"/>
      <c r="G3004" s="4"/>
      <c r="H3004" s="4"/>
      <c r="I3004" s="4"/>
      <c r="J3004" s="4"/>
      <c r="K3004" s="4"/>
      <c r="L3004" s="4"/>
      <c r="M3004" s="4"/>
      <c r="N3004" s="4"/>
      <c r="O3004" s="4"/>
      <c r="P3004" s="4"/>
      <c r="Q3004" s="4"/>
      <c r="R3004" s="4"/>
      <c r="S3004" s="4"/>
      <c r="T3004" s="4"/>
      <c r="U3004" s="4"/>
      <c r="V3004" s="4"/>
      <c r="W3004" s="4"/>
      <c r="X3004" s="4"/>
      <c r="Y3004" s="4"/>
      <c r="Z3004" s="4"/>
      <c r="AA3004" s="4"/>
      <c r="AB3004" s="5"/>
    </row>
    <row r="3005" spans="1:28" x14ac:dyDescent="0.35">
      <c r="A3005" s="3"/>
      <c r="B3005" s="4"/>
      <c r="C3005" s="4"/>
      <c r="D3005" s="4"/>
      <c r="E3005" s="4"/>
      <c r="F3005" s="4"/>
      <c r="G3005" s="4"/>
      <c r="H3005" s="4"/>
      <c r="I3005" s="4"/>
      <c r="J3005" s="4"/>
      <c r="K3005" s="4"/>
      <c r="L3005" s="4"/>
      <c r="M3005" s="4"/>
      <c r="N3005" s="4"/>
      <c r="O3005" s="4"/>
      <c r="P3005" s="4"/>
      <c r="Q3005" s="4"/>
      <c r="R3005" s="4"/>
      <c r="S3005" s="4"/>
      <c r="T3005" s="4"/>
      <c r="U3005" s="4"/>
      <c r="V3005" s="4"/>
      <c r="W3005" s="4"/>
      <c r="X3005" s="4"/>
      <c r="Y3005" s="4"/>
      <c r="Z3005" s="4"/>
      <c r="AA3005" s="4"/>
      <c r="AB3005" s="5"/>
    </row>
    <row r="3006" spans="1:28" x14ac:dyDescent="0.35">
      <c r="A3006" s="3"/>
      <c r="B3006" s="4"/>
      <c r="C3006" s="4"/>
      <c r="D3006" s="4"/>
      <c r="E3006" s="4"/>
      <c r="F3006" s="4"/>
      <c r="G3006" s="4"/>
      <c r="H3006" s="4"/>
      <c r="I3006" s="4"/>
      <c r="J3006" s="4"/>
      <c r="K3006" s="4"/>
      <c r="L3006" s="4"/>
      <c r="M3006" s="4"/>
      <c r="N3006" s="4"/>
      <c r="O3006" s="4"/>
      <c r="P3006" s="4"/>
      <c r="Q3006" s="4"/>
      <c r="R3006" s="4"/>
      <c r="S3006" s="4"/>
      <c r="T3006" s="4"/>
      <c r="U3006" s="4"/>
      <c r="V3006" s="4"/>
      <c r="W3006" s="4"/>
      <c r="X3006" s="4"/>
      <c r="Y3006" s="4"/>
      <c r="Z3006" s="4"/>
      <c r="AA3006" s="4"/>
      <c r="AB3006" s="5"/>
    </row>
    <row r="3007" spans="1:28" x14ac:dyDescent="0.35">
      <c r="A3007" s="3"/>
      <c r="B3007" s="4"/>
      <c r="C3007" s="4"/>
      <c r="D3007" s="4"/>
      <c r="E3007" s="4"/>
      <c r="F3007" s="4"/>
      <c r="G3007" s="4"/>
      <c r="H3007" s="4"/>
      <c r="I3007" s="4"/>
      <c r="J3007" s="4"/>
      <c r="K3007" s="4"/>
      <c r="L3007" s="4"/>
      <c r="M3007" s="4"/>
      <c r="N3007" s="4"/>
      <c r="O3007" s="4"/>
      <c r="P3007" s="4"/>
      <c r="Q3007" s="4"/>
      <c r="R3007" s="4"/>
      <c r="S3007" s="4"/>
      <c r="T3007" s="4"/>
      <c r="U3007" s="4"/>
      <c r="V3007" s="4"/>
      <c r="W3007" s="4"/>
      <c r="X3007" s="4"/>
      <c r="Y3007" s="4"/>
      <c r="Z3007" s="4"/>
      <c r="AA3007" s="4"/>
      <c r="AB3007" s="5"/>
    </row>
    <row r="3008" spans="1:28" x14ac:dyDescent="0.35">
      <c r="A3008" s="3"/>
      <c r="B3008" s="4"/>
      <c r="C3008" s="4"/>
      <c r="D3008" s="4"/>
      <c r="E3008" s="4"/>
      <c r="F3008" s="4"/>
      <c r="G3008" s="4"/>
      <c r="H3008" s="4"/>
      <c r="I3008" s="4"/>
      <c r="J3008" s="4"/>
      <c r="K3008" s="4"/>
      <c r="L3008" s="4"/>
      <c r="M3008" s="4"/>
      <c r="N3008" s="4"/>
      <c r="O3008" s="4"/>
      <c r="P3008" s="4"/>
      <c r="Q3008" s="4"/>
      <c r="R3008" s="4"/>
      <c r="S3008" s="4"/>
      <c r="T3008" s="4"/>
      <c r="U3008" s="4"/>
      <c r="V3008" s="4"/>
      <c r="W3008" s="4"/>
      <c r="X3008" s="4"/>
      <c r="Y3008" s="4"/>
      <c r="Z3008" s="4"/>
      <c r="AA3008" s="4"/>
      <c r="AB3008" s="5"/>
    </row>
    <row r="3009" spans="1:28" x14ac:dyDescent="0.35">
      <c r="A3009" s="3"/>
      <c r="B3009" s="4"/>
      <c r="C3009" s="4"/>
      <c r="D3009" s="4"/>
      <c r="E3009" s="4"/>
      <c r="F3009" s="4"/>
      <c r="G3009" s="4"/>
      <c r="H3009" s="4"/>
      <c r="I3009" s="4"/>
      <c r="J3009" s="4"/>
      <c r="K3009" s="4"/>
      <c r="L3009" s="4"/>
      <c r="M3009" s="4"/>
      <c r="N3009" s="4"/>
      <c r="O3009" s="4"/>
      <c r="P3009" s="4"/>
      <c r="Q3009" s="4"/>
      <c r="R3009" s="4"/>
      <c r="S3009" s="4"/>
      <c r="T3009" s="4"/>
      <c r="U3009" s="4"/>
      <c r="V3009" s="4"/>
      <c r="W3009" s="4"/>
      <c r="X3009" s="4"/>
      <c r="Y3009" s="4"/>
      <c r="Z3009" s="4"/>
      <c r="AA3009" s="4"/>
      <c r="AB3009" s="5"/>
    </row>
    <row r="3010" spans="1:28" x14ac:dyDescent="0.35">
      <c r="A3010" s="3"/>
      <c r="B3010" s="4"/>
      <c r="C3010" s="4"/>
      <c r="D3010" s="4"/>
      <c r="E3010" s="4"/>
      <c r="F3010" s="4"/>
      <c r="G3010" s="4"/>
      <c r="H3010" s="4"/>
      <c r="I3010" s="4"/>
      <c r="J3010" s="4"/>
      <c r="K3010" s="4"/>
      <c r="L3010" s="4"/>
      <c r="M3010" s="4"/>
      <c r="N3010" s="4"/>
      <c r="O3010" s="4"/>
      <c r="P3010" s="4"/>
      <c r="Q3010" s="4"/>
      <c r="R3010" s="4"/>
      <c r="S3010" s="4"/>
      <c r="T3010" s="4"/>
      <c r="U3010" s="4"/>
      <c r="V3010" s="4"/>
      <c r="W3010" s="4"/>
      <c r="X3010" s="4"/>
      <c r="Y3010" s="4"/>
      <c r="Z3010" s="4"/>
      <c r="AA3010" s="4"/>
      <c r="AB3010" s="5"/>
    </row>
    <row r="3011" spans="1:28" x14ac:dyDescent="0.35">
      <c r="A3011" s="3"/>
      <c r="B3011" s="4"/>
      <c r="C3011" s="4"/>
      <c r="D3011" s="4"/>
      <c r="E3011" s="4"/>
      <c r="F3011" s="4"/>
      <c r="G3011" s="4"/>
      <c r="H3011" s="4"/>
      <c r="I3011" s="4"/>
      <c r="J3011" s="4"/>
      <c r="K3011" s="4"/>
      <c r="L3011" s="4"/>
      <c r="M3011" s="4"/>
      <c r="N3011" s="4"/>
      <c r="O3011" s="4"/>
      <c r="P3011" s="4"/>
      <c r="Q3011" s="4"/>
      <c r="R3011" s="4"/>
      <c r="S3011" s="4"/>
      <c r="T3011" s="4"/>
      <c r="U3011" s="4"/>
      <c r="V3011" s="4"/>
      <c r="W3011" s="4"/>
      <c r="X3011" s="4"/>
      <c r="Y3011" s="4"/>
      <c r="Z3011" s="4"/>
      <c r="AA3011" s="4"/>
      <c r="AB3011" s="5"/>
    </row>
    <row r="3012" spans="1:28" x14ac:dyDescent="0.35">
      <c r="A3012" s="3"/>
      <c r="B3012" s="4"/>
      <c r="C3012" s="4"/>
      <c r="D3012" s="4"/>
      <c r="E3012" s="4"/>
      <c r="F3012" s="4"/>
      <c r="G3012" s="4"/>
      <c r="H3012" s="4"/>
      <c r="I3012" s="4"/>
      <c r="J3012" s="4"/>
      <c r="K3012" s="4"/>
      <c r="L3012" s="4"/>
      <c r="M3012" s="4"/>
      <c r="N3012" s="4"/>
      <c r="O3012" s="4"/>
      <c r="P3012" s="4"/>
      <c r="Q3012" s="4"/>
      <c r="R3012" s="4"/>
      <c r="S3012" s="4"/>
      <c r="T3012" s="4"/>
      <c r="U3012" s="4"/>
      <c r="V3012" s="4"/>
      <c r="W3012" s="4"/>
      <c r="X3012" s="4"/>
      <c r="Y3012" s="4"/>
      <c r="Z3012" s="4"/>
      <c r="AA3012" s="4"/>
      <c r="AB3012" s="5"/>
    </row>
    <row r="3013" spans="1:28" x14ac:dyDescent="0.35">
      <c r="A3013" s="3"/>
      <c r="B3013" s="4"/>
      <c r="C3013" s="4"/>
      <c r="D3013" s="4"/>
      <c r="E3013" s="4"/>
      <c r="F3013" s="4"/>
      <c r="G3013" s="4"/>
      <c r="H3013" s="4"/>
      <c r="I3013" s="4"/>
      <c r="J3013" s="4"/>
      <c r="K3013" s="4"/>
      <c r="L3013" s="4"/>
      <c r="M3013" s="4"/>
      <c r="N3013" s="4"/>
      <c r="O3013" s="4"/>
      <c r="P3013" s="4"/>
      <c r="Q3013" s="4"/>
      <c r="R3013" s="4"/>
      <c r="S3013" s="4"/>
      <c r="T3013" s="4"/>
      <c r="U3013" s="4"/>
      <c r="V3013" s="4"/>
      <c r="W3013" s="4"/>
      <c r="X3013" s="4"/>
      <c r="Y3013" s="4"/>
      <c r="Z3013" s="4"/>
      <c r="AA3013" s="4"/>
      <c r="AB3013" s="5"/>
    </row>
    <row r="3014" spans="1:28" x14ac:dyDescent="0.35">
      <c r="A3014" s="3"/>
      <c r="B3014" s="4"/>
      <c r="C3014" s="4"/>
      <c r="D3014" s="4"/>
      <c r="E3014" s="4"/>
      <c r="F3014" s="4"/>
      <c r="G3014" s="4"/>
      <c r="H3014" s="4"/>
      <c r="I3014" s="4"/>
      <c r="J3014" s="4"/>
      <c r="K3014" s="4"/>
      <c r="L3014" s="4"/>
      <c r="M3014" s="4"/>
      <c r="N3014" s="4"/>
      <c r="O3014" s="4"/>
      <c r="P3014" s="4"/>
      <c r="Q3014" s="4"/>
      <c r="R3014" s="4"/>
      <c r="S3014" s="4"/>
      <c r="T3014" s="4"/>
      <c r="U3014" s="4"/>
      <c r="V3014" s="4"/>
      <c r="W3014" s="4"/>
      <c r="X3014" s="4"/>
      <c r="Y3014" s="4"/>
      <c r="Z3014" s="4"/>
      <c r="AA3014" s="4"/>
      <c r="AB3014" s="5"/>
    </row>
    <row r="3015" spans="1:28" x14ac:dyDescent="0.35">
      <c r="A3015" s="3"/>
      <c r="B3015" s="4"/>
      <c r="C3015" s="4"/>
      <c r="D3015" s="4"/>
      <c r="E3015" s="4"/>
      <c r="F3015" s="4"/>
      <c r="G3015" s="4"/>
      <c r="H3015" s="4"/>
      <c r="I3015" s="4"/>
      <c r="J3015" s="4"/>
      <c r="K3015" s="4"/>
      <c r="L3015" s="4"/>
      <c r="M3015" s="4"/>
      <c r="N3015" s="4"/>
      <c r="O3015" s="4"/>
      <c r="P3015" s="4"/>
      <c r="Q3015" s="4"/>
      <c r="R3015" s="4"/>
      <c r="S3015" s="4"/>
      <c r="T3015" s="4"/>
      <c r="U3015" s="4"/>
      <c r="V3015" s="4"/>
      <c r="W3015" s="4"/>
      <c r="X3015" s="4"/>
      <c r="Y3015" s="4"/>
      <c r="Z3015" s="4"/>
      <c r="AA3015" s="4"/>
      <c r="AB3015" s="5"/>
    </row>
    <row r="3016" spans="1:28" x14ac:dyDescent="0.35">
      <c r="A3016" s="3"/>
      <c r="B3016" s="4"/>
      <c r="C3016" s="4"/>
      <c r="D3016" s="4"/>
      <c r="E3016" s="4"/>
      <c r="F3016" s="4"/>
      <c r="G3016" s="4"/>
      <c r="H3016" s="4"/>
      <c r="I3016" s="4"/>
      <c r="J3016" s="4"/>
      <c r="K3016" s="4"/>
      <c r="L3016" s="4"/>
      <c r="M3016" s="4"/>
      <c r="N3016" s="4"/>
      <c r="O3016" s="4"/>
      <c r="P3016" s="4"/>
      <c r="Q3016" s="4"/>
      <c r="R3016" s="4"/>
      <c r="S3016" s="4"/>
      <c r="T3016" s="4"/>
      <c r="U3016" s="4"/>
      <c r="V3016" s="4"/>
      <c r="W3016" s="4"/>
      <c r="X3016" s="4"/>
      <c r="Y3016" s="4"/>
      <c r="Z3016" s="4"/>
      <c r="AA3016" s="4"/>
      <c r="AB3016" s="5"/>
    </row>
    <row r="3017" spans="1:28" x14ac:dyDescent="0.35">
      <c r="A3017" s="3"/>
      <c r="B3017" s="4"/>
      <c r="C3017" s="4"/>
      <c r="D3017" s="4"/>
      <c r="E3017" s="4"/>
      <c r="F3017" s="4"/>
      <c r="G3017" s="4"/>
      <c r="H3017" s="4"/>
      <c r="I3017" s="4"/>
      <c r="J3017" s="4"/>
      <c r="K3017" s="4"/>
      <c r="L3017" s="4"/>
      <c r="M3017" s="4"/>
      <c r="N3017" s="4"/>
      <c r="O3017" s="4"/>
      <c r="P3017" s="4"/>
      <c r="Q3017" s="4"/>
      <c r="R3017" s="4"/>
      <c r="S3017" s="4"/>
      <c r="T3017" s="4"/>
      <c r="U3017" s="4"/>
      <c r="V3017" s="4"/>
      <c r="W3017" s="4"/>
      <c r="X3017" s="4"/>
      <c r="Y3017" s="4"/>
      <c r="Z3017" s="4"/>
      <c r="AA3017" s="4"/>
      <c r="AB3017" s="5"/>
    </row>
    <row r="3018" spans="1:28" x14ac:dyDescent="0.35">
      <c r="A3018" s="3"/>
      <c r="B3018" s="4"/>
      <c r="C3018" s="4"/>
      <c r="D3018" s="4"/>
      <c r="E3018" s="4"/>
      <c r="F3018" s="4"/>
      <c r="G3018" s="4"/>
      <c r="H3018" s="4"/>
      <c r="I3018" s="4"/>
      <c r="J3018" s="4"/>
      <c r="K3018" s="4"/>
      <c r="L3018" s="4"/>
      <c r="M3018" s="4"/>
      <c r="N3018" s="4"/>
      <c r="O3018" s="4"/>
      <c r="P3018" s="4"/>
      <c r="Q3018" s="4"/>
      <c r="R3018" s="4"/>
      <c r="S3018" s="4"/>
      <c r="T3018" s="4"/>
      <c r="U3018" s="4"/>
      <c r="V3018" s="4"/>
      <c r="W3018" s="4"/>
      <c r="X3018" s="4"/>
      <c r="Y3018" s="4"/>
      <c r="Z3018" s="4"/>
      <c r="AA3018" s="4"/>
      <c r="AB3018" s="5"/>
    </row>
    <row r="3019" spans="1:28" x14ac:dyDescent="0.35">
      <c r="A3019" s="3"/>
      <c r="B3019" s="4"/>
      <c r="C3019" s="4"/>
      <c r="D3019" s="4"/>
      <c r="E3019" s="4"/>
      <c r="F3019" s="4"/>
      <c r="G3019" s="4"/>
      <c r="H3019" s="4"/>
      <c r="I3019" s="4"/>
      <c r="J3019" s="4"/>
      <c r="K3019" s="4"/>
      <c r="L3019" s="4"/>
      <c r="M3019" s="4"/>
      <c r="N3019" s="4"/>
      <c r="O3019" s="4"/>
      <c r="P3019" s="4"/>
      <c r="Q3019" s="4"/>
      <c r="R3019" s="4"/>
      <c r="S3019" s="4"/>
      <c r="T3019" s="4"/>
      <c r="U3019" s="4"/>
      <c r="V3019" s="4"/>
      <c r="W3019" s="4"/>
      <c r="X3019" s="4"/>
      <c r="Y3019" s="4"/>
      <c r="Z3019" s="4"/>
      <c r="AA3019" s="4"/>
      <c r="AB3019" s="5"/>
    </row>
    <row r="3020" spans="1:28" x14ac:dyDescent="0.35">
      <c r="A3020" s="3"/>
      <c r="B3020" s="4"/>
      <c r="C3020" s="4"/>
      <c r="D3020" s="4"/>
      <c r="E3020" s="4"/>
      <c r="F3020" s="4"/>
      <c r="G3020" s="4"/>
      <c r="H3020" s="4"/>
      <c r="I3020" s="4"/>
      <c r="J3020" s="4"/>
      <c r="K3020" s="4"/>
      <c r="L3020" s="4"/>
      <c r="M3020" s="4"/>
      <c r="N3020" s="4"/>
      <c r="O3020" s="4"/>
      <c r="P3020" s="4"/>
      <c r="Q3020" s="4"/>
      <c r="R3020" s="4"/>
      <c r="S3020" s="4"/>
      <c r="T3020" s="4"/>
      <c r="U3020" s="4"/>
      <c r="V3020" s="4"/>
      <c r="W3020" s="4"/>
      <c r="X3020" s="4"/>
      <c r="Y3020" s="4"/>
      <c r="Z3020" s="4"/>
      <c r="AA3020" s="4"/>
      <c r="AB3020" s="5"/>
    </row>
    <row r="3021" spans="1:28" x14ac:dyDescent="0.35">
      <c r="A3021" s="3"/>
      <c r="B3021" s="4"/>
      <c r="C3021" s="4"/>
      <c r="D3021" s="4"/>
      <c r="E3021" s="4"/>
      <c r="F3021" s="4"/>
      <c r="G3021" s="4"/>
      <c r="H3021" s="4"/>
      <c r="I3021" s="4"/>
      <c r="J3021" s="4"/>
      <c r="K3021" s="4"/>
      <c r="L3021" s="4"/>
      <c r="M3021" s="4"/>
      <c r="N3021" s="4"/>
      <c r="O3021" s="4"/>
      <c r="P3021" s="4"/>
      <c r="Q3021" s="4"/>
      <c r="R3021" s="4"/>
      <c r="S3021" s="4"/>
      <c r="T3021" s="4"/>
      <c r="U3021" s="4"/>
      <c r="V3021" s="4"/>
      <c r="W3021" s="4"/>
      <c r="X3021" s="4"/>
      <c r="Y3021" s="4"/>
      <c r="Z3021" s="4"/>
      <c r="AA3021" s="4"/>
      <c r="AB3021" s="5"/>
    </row>
    <row r="3022" spans="1:28" x14ac:dyDescent="0.35">
      <c r="A3022" s="3"/>
      <c r="B3022" s="4"/>
      <c r="C3022" s="4"/>
      <c r="D3022" s="4"/>
      <c r="E3022" s="4"/>
      <c r="F3022" s="4"/>
      <c r="G3022" s="4"/>
      <c r="H3022" s="4"/>
      <c r="I3022" s="4"/>
      <c r="J3022" s="4"/>
      <c r="K3022" s="4"/>
      <c r="L3022" s="4"/>
      <c r="M3022" s="4"/>
      <c r="N3022" s="4"/>
      <c r="O3022" s="4"/>
      <c r="P3022" s="4"/>
      <c r="Q3022" s="4"/>
      <c r="R3022" s="4"/>
      <c r="S3022" s="4"/>
      <c r="T3022" s="4"/>
      <c r="U3022" s="4"/>
      <c r="V3022" s="4"/>
      <c r="W3022" s="4"/>
      <c r="X3022" s="4"/>
      <c r="Y3022" s="4"/>
      <c r="Z3022" s="4"/>
      <c r="AA3022" s="4"/>
      <c r="AB3022" s="5"/>
    </row>
    <row r="3023" spans="1:28" x14ac:dyDescent="0.35">
      <c r="A3023" s="3"/>
      <c r="B3023" s="4"/>
      <c r="C3023" s="4"/>
      <c r="D3023" s="4"/>
      <c r="E3023" s="4"/>
      <c r="F3023" s="4"/>
      <c r="G3023" s="4"/>
      <c r="H3023" s="4"/>
      <c r="I3023" s="4"/>
      <c r="J3023" s="4"/>
      <c r="K3023" s="4"/>
      <c r="L3023" s="4"/>
      <c r="M3023" s="4"/>
      <c r="N3023" s="4"/>
      <c r="O3023" s="4"/>
      <c r="P3023" s="4"/>
      <c r="Q3023" s="4"/>
      <c r="R3023" s="4"/>
      <c r="S3023" s="4"/>
      <c r="T3023" s="4"/>
      <c r="U3023" s="4"/>
      <c r="V3023" s="4"/>
      <c r="W3023" s="4"/>
      <c r="X3023" s="4"/>
      <c r="Y3023" s="4"/>
      <c r="Z3023" s="4"/>
      <c r="AA3023" s="4"/>
      <c r="AB3023" s="5"/>
    </row>
    <row r="3024" spans="1:28" x14ac:dyDescent="0.35">
      <c r="A3024" s="3"/>
      <c r="B3024" s="4"/>
      <c r="C3024" s="4"/>
      <c r="D3024" s="4"/>
      <c r="E3024" s="4"/>
      <c r="F3024" s="4"/>
      <c r="G3024" s="4"/>
      <c r="H3024" s="4"/>
      <c r="I3024" s="4"/>
      <c r="J3024" s="4"/>
      <c r="K3024" s="4"/>
      <c r="L3024" s="4"/>
      <c r="M3024" s="4"/>
      <c r="N3024" s="4"/>
      <c r="O3024" s="4"/>
      <c r="P3024" s="4"/>
      <c r="Q3024" s="4"/>
      <c r="R3024" s="4"/>
      <c r="S3024" s="4"/>
      <c r="T3024" s="4"/>
      <c r="U3024" s="4"/>
      <c r="V3024" s="4"/>
      <c r="W3024" s="4"/>
      <c r="X3024" s="4"/>
      <c r="Y3024" s="4"/>
      <c r="Z3024" s="4"/>
      <c r="AA3024" s="4"/>
      <c r="AB3024" s="5"/>
    </row>
    <row r="3025" spans="1:28" x14ac:dyDescent="0.35">
      <c r="A3025" s="3"/>
      <c r="B3025" s="4"/>
      <c r="C3025" s="4"/>
      <c r="D3025" s="4"/>
      <c r="E3025" s="4"/>
      <c r="F3025" s="4"/>
      <c r="G3025" s="4"/>
      <c r="H3025" s="4"/>
      <c r="I3025" s="4"/>
      <c r="J3025" s="4"/>
      <c r="K3025" s="4"/>
      <c r="L3025" s="4"/>
      <c r="M3025" s="4"/>
      <c r="N3025" s="4"/>
      <c r="O3025" s="4"/>
      <c r="P3025" s="4"/>
      <c r="Q3025" s="4"/>
      <c r="R3025" s="4"/>
      <c r="S3025" s="4"/>
      <c r="T3025" s="4"/>
      <c r="U3025" s="4"/>
      <c r="V3025" s="4"/>
      <c r="W3025" s="4"/>
      <c r="X3025" s="4"/>
      <c r="Y3025" s="4"/>
      <c r="Z3025" s="4"/>
      <c r="AA3025" s="4"/>
      <c r="AB3025" s="5"/>
    </row>
    <row r="3026" spans="1:28" x14ac:dyDescent="0.35">
      <c r="A3026" s="3"/>
      <c r="B3026" s="4"/>
      <c r="C3026" s="4"/>
      <c r="D3026" s="4"/>
      <c r="E3026" s="4"/>
      <c r="F3026" s="4"/>
      <c r="G3026" s="4"/>
      <c r="H3026" s="4"/>
      <c r="I3026" s="4"/>
      <c r="J3026" s="4"/>
      <c r="K3026" s="4"/>
      <c r="L3026" s="4"/>
      <c r="M3026" s="4"/>
      <c r="N3026" s="4"/>
      <c r="O3026" s="4"/>
      <c r="P3026" s="4"/>
      <c r="Q3026" s="4"/>
      <c r="R3026" s="4"/>
      <c r="S3026" s="4"/>
      <c r="T3026" s="4"/>
      <c r="U3026" s="4"/>
      <c r="V3026" s="4"/>
      <c r="W3026" s="4"/>
      <c r="X3026" s="4"/>
      <c r="Y3026" s="4"/>
      <c r="Z3026" s="4"/>
      <c r="AA3026" s="4"/>
      <c r="AB3026" s="5"/>
    </row>
    <row r="3027" spans="1:28" x14ac:dyDescent="0.35">
      <c r="A3027" s="3"/>
      <c r="B3027" s="4"/>
      <c r="C3027" s="4"/>
      <c r="D3027" s="4"/>
      <c r="E3027" s="4"/>
      <c r="F3027" s="4"/>
      <c r="G3027" s="4"/>
      <c r="H3027" s="4"/>
      <c r="I3027" s="4"/>
      <c r="J3027" s="4"/>
      <c r="K3027" s="4"/>
      <c r="L3027" s="4"/>
      <c r="M3027" s="4"/>
      <c r="N3027" s="4"/>
      <c r="O3027" s="4"/>
      <c r="P3027" s="4"/>
      <c r="Q3027" s="4"/>
      <c r="R3027" s="4"/>
      <c r="S3027" s="4"/>
      <c r="T3027" s="4"/>
      <c r="U3027" s="4"/>
      <c r="V3027" s="4"/>
      <c r="W3027" s="4"/>
      <c r="X3027" s="4"/>
      <c r="Y3027" s="4"/>
      <c r="Z3027" s="4"/>
      <c r="AA3027" s="4"/>
      <c r="AB3027" s="5"/>
    </row>
    <row r="3028" spans="1:28" x14ac:dyDescent="0.35">
      <c r="A3028" s="3"/>
      <c r="B3028" s="4"/>
      <c r="C3028" s="4"/>
      <c r="D3028" s="4"/>
      <c r="E3028" s="4"/>
      <c r="F3028" s="4"/>
      <c r="G3028" s="4"/>
      <c r="H3028" s="4"/>
      <c r="I3028" s="4"/>
      <c r="J3028" s="4"/>
      <c r="K3028" s="4"/>
      <c r="L3028" s="4"/>
      <c r="M3028" s="4"/>
      <c r="N3028" s="4"/>
      <c r="O3028" s="4"/>
      <c r="P3028" s="4"/>
      <c r="Q3028" s="4"/>
      <c r="R3028" s="4"/>
      <c r="S3028" s="4"/>
      <c r="T3028" s="4"/>
      <c r="U3028" s="4"/>
      <c r="V3028" s="4"/>
      <c r="W3028" s="4"/>
      <c r="X3028" s="4"/>
      <c r="Y3028" s="4"/>
      <c r="Z3028" s="4"/>
      <c r="AA3028" s="4"/>
      <c r="AB3028" s="5"/>
    </row>
    <row r="3029" spans="1:28" x14ac:dyDescent="0.35">
      <c r="A3029" s="3"/>
      <c r="B3029" s="4"/>
      <c r="C3029" s="4"/>
      <c r="D3029" s="4"/>
      <c r="E3029" s="4"/>
      <c r="F3029" s="4"/>
      <c r="G3029" s="4"/>
      <c r="H3029" s="4"/>
      <c r="I3029" s="4"/>
      <c r="J3029" s="4"/>
      <c r="K3029" s="4"/>
      <c r="L3029" s="4"/>
      <c r="M3029" s="4"/>
      <c r="N3029" s="4"/>
      <c r="O3029" s="4"/>
      <c r="P3029" s="4"/>
      <c r="Q3029" s="4"/>
      <c r="R3029" s="4"/>
      <c r="S3029" s="4"/>
      <c r="T3029" s="4"/>
      <c r="U3029" s="4"/>
      <c r="V3029" s="4"/>
      <c r="W3029" s="4"/>
      <c r="X3029" s="4"/>
      <c r="Y3029" s="4"/>
      <c r="Z3029" s="4"/>
      <c r="AA3029" s="4"/>
      <c r="AB3029" s="5"/>
    </row>
    <row r="3030" spans="1:28" x14ac:dyDescent="0.35">
      <c r="A3030" s="3"/>
      <c r="B3030" s="4"/>
      <c r="C3030" s="4"/>
      <c r="D3030" s="4"/>
      <c r="E3030" s="4"/>
      <c r="F3030" s="4"/>
      <c r="G3030" s="4"/>
      <c r="H3030" s="4"/>
      <c r="I3030" s="4"/>
      <c r="J3030" s="4"/>
      <c r="K3030" s="4"/>
      <c r="L3030" s="4"/>
      <c r="M3030" s="4"/>
      <c r="N3030" s="4"/>
      <c r="O3030" s="4"/>
      <c r="P3030" s="4"/>
      <c r="Q3030" s="4"/>
      <c r="R3030" s="4"/>
      <c r="S3030" s="4"/>
      <c r="T3030" s="4"/>
      <c r="U3030" s="4"/>
      <c r="V3030" s="4"/>
      <c r="W3030" s="4"/>
      <c r="X3030" s="4"/>
      <c r="Y3030" s="4"/>
      <c r="Z3030" s="4"/>
      <c r="AA3030" s="4"/>
      <c r="AB3030" s="5"/>
    </row>
    <row r="3031" spans="1:28" x14ac:dyDescent="0.35">
      <c r="A3031" s="3"/>
      <c r="B3031" s="4"/>
      <c r="C3031" s="4"/>
      <c r="D3031" s="4"/>
      <c r="E3031" s="4"/>
      <c r="F3031" s="4"/>
      <c r="G3031" s="4"/>
      <c r="H3031" s="4"/>
      <c r="I3031" s="4"/>
      <c r="J3031" s="4"/>
      <c r="K3031" s="4"/>
      <c r="L3031" s="4"/>
      <c r="M3031" s="4"/>
      <c r="N3031" s="4"/>
      <c r="O3031" s="4"/>
      <c r="P3031" s="4"/>
      <c r="Q3031" s="4"/>
      <c r="R3031" s="4"/>
      <c r="S3031" s="4"/>
      <c r="T3031" s="4"/>
      <c r="U3031" s="4"/>
      <c r="V3031" s="4"/>
      <c r="W3031" s="4"/>
      <c r="X3031" s="4"/>
      <c r="Y3031" s="4"/>
      <c r="Z3031" s="4"/>
      <c r="AA3031" s="4"/>
      <c r="AB3031" s="5"/>
    </row>
    <row r="3032" spans="1:28" x14ac:dyDescent="0.35">
      <c r="A3032" s="3"/>
      <c r="B3032" s="4"/>
      <c r="C3032" s="4"/>
      <c r="D3032" s="4"/>
      <c r="E3032" s="4"/>
      <c r="F3032" s="4"/>
      <c r="G3032" s="4"/>
      <c r="H3032" s="4"/>
      <c r="I3032" s="4"/>
      <c r="J3032" s="4"/>
      <c r="K3032" s="4"/>
      <c r="L3032" s="4"/>
      <c r="M3032" s="4"/>
      <c r="N3032" s="4"/>
      <c r="O3032" s="4"/>
      <c r="P3032" s="4"/>
      <c r="Q3032" s="4"/>
      <c r="R3032" s="4"/>
      <c r="S3032" s="4"/>
      <c r="T3032" s="4"/>
      <c r="U3032" s="4"/>
      <c r="V3032" s="4"/>
      <c r="W3032" s="4"/>
      <c r="X3032" s="4"/>
      <c r="Y3032" s="4"/>
      <c r="Z3032" s="4"/>
      <c r="AA3032" s="4"/>
      <c r="AB3032" s="5"/>
    </row>
    <row r="3033" spans="1:28" x14ac:dyDescent="0.35">
      <c r="A3033" s="3"/>
      <c r="B3033" s="4"/>
      <c r="C3033" s="4"/>
      <c r="D3033" s="4"/>
      <c r="E3033" s="4"/>
      <c r="F3033" s="4"/>
      <c r="G3033" s="4"/>
      <c r="H3033" s="4"/>
      <c r="I3033" s="4"/>
      <c r="J3033" s="4"/>
      <c r="K3033" s="4"/>
      <c r="L3033" s="4"/>
      <c r="M3033" s="4"/>
      <c r="N3033" s="4"/>
      <c r="O3033" s="4"/>
      <c r="P3033" s="4"/>
      <c r="Q3033" s="4"/>
      <c r="R3033" s="4"/>
      <c r="S3033" s="4"/>
      <c r="T3033" s="4"/>
      <c r="U3033" s="4"/>
      <c r="V3033" s="4"/>
      <c r="W3033" s="4"/>
      <c r="X3033" s="4"/>
      <c r="Y3033" s="4"/>
      <c r="Z3033" s="4"/>
      <c r="AA3033" s="4"/>
      <c r="AB3033" s="5"/>
    </row>
    <row r="3034" spans="1:28" x14ac:dyDescent="0.35">
      <c r="A3034" s="3"/>
      <c r="B3034" s="4"/>
      <c r="C3034" s="4"/>
      <c r="D3034" s="4"/>
      <c r="E3034" s="4"/>
      <c r="F3034" s="4"/>
      <c r="G3034" s="4"/>
      <c r="H3034" s="4"/>
      <c r="I3034" s="4"/>
      <c r="J3034" s="4"/>
      <c r="K3034" s="4"/>
      <c r="L3034" s="4"/>
      <c r="M3034" s="4"/>
      <c r="N3034" s="4"/>
      <c r="O3034" s="4"/>
      <c r="P3034" s="4"/>
      <c r="Q3034" s="4"/>
      <c r="R3034" s="4"/>
      <c r="S3034" s="4"/>
      <c r="T3034" s="4"/>
      <c r="U3034" s="4"/>
      <c r="V3034" s="4"/>
      <c r="W3034" s="4"/>
      <c r="X3034" s="4"/>
      <c r="Y3034" s="4"/>
      <c r="Z3034" s="4"/>
      <c r="AA3034" s="4"/>
      <c r="AB3034" s="5"/>
    </row>
    <row r="3035" spans="1:28" x14ac:dyDescent="0.35">
      <c r="A3035" s="3"/>
      <c r="B3035" s="4"/>
      <c r="C3035" s="4"/>
      <c r="D3035" s="4"/>
      <c r="E3035" s="4"/>
      <c r="F3035" s="4"/>
      <c r="G3035" s="4"/>
      <c r="H3035" s="4"/>
      <c r="I3035" s="4"/>
      <c r="J3035" s="4"/>
      <c r="K3035" s="4"/>
      <c r="L3035" s="4"/>
      <c r="M3035" s="4"/>
      <c r="N3035" s="4"/>
      <c r="O3035" s="4"/>
      <c r="P3035" s="4"/>
      <c r="Q3035" s="4"/>
      <c r="R3035" s="4"/>
      <c r="S3035" s="4"/>
      <c r="T3035" s="4"/>
      <c r="U3035" s="4"/>
      <c r="V3035" s="4"/>
      <c r="W3035" s="4"/>
      <c r="X3035" s="4"/>
      <c r="Y3035" s="4"/>
      <c r="Z3035" s="4"/>
      <c r="AA3035" s="4"/>
      <c r="AB3035" s="5"/>
    </row>
    <row r="3036" spans="1:28" x14ac:dyDescent="0.35">
      <c r="A3036" s="3"/>
      <c r="B3036" s="4"/>
      <c r="C3036" s="4"/>
      <c r="D3036" s="4"/>
      <c r="E3036" s="4"/>
      <c r="F3036" s="4"/>
      <c r="G3036" s="4"/>
      <c r="H3036" s="4"/>
      <c r="I3036" s="4"/>
      <c r="J3036" s="4"/>
      <c r="K3036" s="4"/>
      <c r="L3036" s="4"/>
      <c r="M3036" s="4"/>
      <c r="N3036" s="4"/>
      <c r="O3036" s="4"/>
      <c r="P3036" s="4"/>
      <c r="Q3036" s="4"/>
      <c r="R3036" s="4"/>
      <c r="S3036" s="4"/>
      <c r="T3036" s="4"/>
      <c r="U3036" s="4"/>
      <c r="V3036" s="4"/>
      <c r="W3036" s="4"/>
      <c r="X3036" s="4"/>
      <c r="Y3036" s="4"/>
      <c r="Z3036" s="4"/>
      <c r="AA3036" s="4"/>
      <c r="AB3036" s="5"/>
    </row>
    <row r="3037" spans="1:28" x14ac:dyDescent="0.35">
      <c r="A3037" s="3"/>
      <c r="B3037" s="4"/>
      <c r="C3037" s="4"/>
      <c r="D3037" s="4"/>
      <c r="E3037" s="4"/>
      <c r="F3037" s="4"/>
      <c r="G3037" s="4"/>
      <c r="H3037" s="4"/>
      <c r="I3037" s="4"/>
      <c r="J3037" s="4"/>
      <c r="K3037" s="4"/>
      <c r="L3037" s="4"/>
      <c r="M3037" s="4"/>
      <c r="N3037" s="4"/>
      <c r="O3037" s="4"/>
      <c r="P3037" s="4"/>
      <c r="Q3037" s="4"/>
      <c r="R3037" s="4"/>
      <c r="S3037" s="4"/>
      <c r="T3037" s="4"/>
      <c r="U3037" s="4"/>
      <c r="V3037" s="4"/>
      <c r="W3037" s="4"/>
      <c r="X3037" s="4"/>
      <c r="Y3037" s="4"/>
      <c r="Z3037" s="4"/>
      <c r="AA3037" s="4"/>
      <c r="AB3037" s="5"/>
    </row>
    <row r="3038" spans="1:28" x14ac:dyDescent="0.35">
      <c r="A3038" s="3"/>
      <c r="B3038" s="4"/>
      <c r="C3038" s="4"/>
      <c r="D3038" s="4"/>
      <c r="E3038" s="4"/>
      <c r="F3038" s="4"/>
      <c r="G3038" s="4"/>
      <c r="H3038" s="4"/>
      <c r="I3038" s="4"/>
      <c r="J3038" s="4"/>
      <c r="K3038" s="4"/>
      <c r="L3038" s="4"/>
      <c r="M3038" s="4"/>
      <c r="N3038" s="4"/>
      <c r="O3038" s="4"/>
      <c r="P3038" s="4"/>
      <c r="Q3038" s="4"/>
      <c r="R3038" s="4"/>
      <c r="S3038" s="4"/>
      <c r="T3038" s="4"/>
      <c r="U3038" s="4"/>
      <c r="V3038" s="4"/>
      <c r="W3038" s="4"/>
      <c r="X3038" s="4"/>
      <c r="Y3038" s="4"/>
      <c r="Z3038" s="4"/>
      <c r="AA3038" s="4"/>
      <c r="AB3038" s="5"/>
    </row>
    <row r="3039" spans="1:28" x14ac:dyDescent="0.35">
      <c r="A3039" s="3"/>
      <c r="B3039" s="4"/>
      <c r="C3039" s="4"/>
      <c r="D3039" s="4"/>
      <c r="E3039" s="4"/>
      <c r="F3039" s="4"/>
      <c r="G3039" s="4"/>
      <c r="H3039" s="4"/>
      <c r="I3039" s="4"/>
      <c r="J3039" s="4"/>
      <c r="K3039" s="4"/>
      <c r="L3039" s="4"/>
      <c r="M3039" s="4"/>
      <c r="N3039" s="4"/>
      <c r="O3039" s="4"/>
      <c r="P3039" s="4"/>
      <c r="Q3039" s="4"/>
      <c r="R3039" s="4"/>
      <c r="S3039" s="4"/>
      <c r="T3039" s="4"/>
      <c r="U3039" s="4"/>
      <c r="V3039" s="4"/>
      <c r="W3039" s="4"/>
      <c r="X3039" s="4"/>
      <c r="Y3039" s="4"/>
      <c r="Z3039" s="4"/>
      <c r="AA3039" s="4"/>
      <c r="AB3039" s="5"/>
    </row>
    <row r="3040" spans="1:28" x14ac:dyDescent="0.35">
      <c r="A3040" s="3"/>
      <c r="B3040" s="4"/>
      <c r="C3040" s="4"/>
      <c r="D3040" s="4"/>
      <c r="E3040" s="4"/>
      <c r="F3040" s="4"/>
      <c r="G3040" s="4"/>
      <c r="H3040" s="4"/>
      <c r="I3040" s="4"/>
      <c r="J3040" s="4"/>
      <c r="K3040" s="4"/>
      <c r="L3040" s="4"/>
      <c r="M3040" s="4"/>
      <c r="N3040" s="4"/>
      <c r="O3040" s="4"/>
      <c r="P3040" s="4"/>
      <c r="Q3040" s="4"/>
      <c r="R3040" s="4"/>
      <c r="S3040" s="4"/>
      <c r="T3040" s="4"/>
      <c r="U3040" s="4"/>
      <c r="V3040" s="4"/>
      <c r="W3040" s="4"/>
      <c r="X3040" s="4"/>
      <c r="Y3040" s="4"/>
      <c r="Z3040" s="4"/>
      <c r="AA3040" s="4"/>
      <c r="AB3040" s="5"/>
    </row>
    <row r="3041" spans="1:28" x14ac:dyDescent="0.35">
      <c r="A3041" s="3"/>
      <c r="B3041" s="4"/>
      <c r="C3041" s="4"/>
      <c r="D3041" s="4"/>
      <c r="E3041" s="4"/>
      <c r="F3041" s="4"/>
      <c r="G3041" s="4"/>
      <c r="H3041" s="4"/>
      <c r="I3041" s="4"/>
      <c r="J3041" s="4"/>
      <c r="K3041" s="4"/>
      <c r="L3041" s="4"/>
      <c r="M3041" s="4"/>
      <c r="N3041" s="4"/>
      <c r="O3041" s="4"/>
      <c r="P3041" s="4"/>
      <c r="Q3041" s="4"/>
      <c r="R3041" s="4"/>
      <c r="S3041" s="4"/>
      <c r="T3041" s="4"/>
      <c r="U3041" s="4"/>
      <c r="V3041" s="4"/>
      <c r="W3041" s="4"/>
      <c r="X3041" s="4"/>
      <c r="Y3041" s="4"/>
      <c r="Z3041" s="4"/>
      <c r="AA3041" s="4"/>
      <c r="AB3041" s="5"/>
    </row>
    <row r="3042" spans="1:28" x14ac:dyDescent="0.35">
      <c r="A3042" s="3"/>
      <c r="B3042" s="4"/>
      <c r="C3042" s="4"/>
      <c r="D3042" s="4"/>
      <c r="E3042" s="4"/>
      <c r="F3042" s="4"/>
      <c r="G3042" s="4"/>
      <c r="H3042" s="4"/>
      <c r="I3042" s="4"/>
      <c r="J3042" s="4"/>
      <c r="K3042" s="4"/>
      <c r="L3042" s="4"/>
      <c r="M3042" s="4"/>
      <c r="N3042" s="4"/>
      <c r="O3042" s="4"/>
      <c r="P3042" s="4"/>
      <c r="Q3042" s="4"/>
      <c r="R3042" s="4"/>
      <c r="S3042" s="4"/>
      <c r="T3042" s="4"/>
      <c r="U3042" s="4"/>
      <c r="V3042" s="4"/>
      <c r="W3042" s="4"/>
      <c r="X3042" s="4"/>
      <c r="Y3042" s="4"/>
      <c r="Z3042" s="4"/>
      <c r="AA3042" s="4"/>
      <c r="AB3042" s="5"/>
    </row>
    <row r="3043" spans="1:28" x14ac:dyDescent="0.35">
      <c r="A3043" s="3"/>
      <c r="B3043" s="4"/>
      <c r="C3043" s="4"/>
      <c r="D3043" s="4"/>
      <c r="E3043" s="4"/>
      <c r="F3043" s="4"/>
      <c r="G3043" s="4"/>
      <c r="H3043" s="4"/>
      <c r="I3043" s="4"/>
      <c r="J3043" s="4"/>
      <c r="K3043" s="4"/>
      <c r="L3043" s="4"/>
      <c r="M3043" s="4"/>
      <c r="N3043" s="4"/>
      <c r="O3043" s="4"/>
      <c r="P3043" s="4"/>
      <c r="Q3043" s="4"/>
      <c r="R3043" s="4"/>
      <c r="S3043" s="4"/>
      <c r="T3043" s="4"/>
      <c r="U3043" s="4"/>
      <c r="V3043" s="4"/>
      <c r="W3043" s="4"/>
      <c r="X3043" s="4"/>
      <c r="Y3043" s="4"/>
      <c r="Z3043" s="4"/>
      <c r="AA3043" s="4"/>
      <c r="AB3043" s="5"/>
    </row>
    <row r="3044" spans="1:28" x14ac:dyDescent="0.35">
      <c r="A3044" s="3"/>
      <c r="B3044" s="4"/>
      <c r="C3044" s="4"/>
      <c r="D3044" s="4"/>
      <c r="E3044" s="4"/>
      <c r="F3044" s="4"/>
      <c r="G3044" s="4"/>
      <c r="H3044" s="4"/>
      <c r="I3044" s="4"/>
      <c r="J3044" s="4"/>
      <c r="K3044" s="4"/>
      <c r="L3044" s="4"/>
      <c r="M3044" s="4"/>
      <c r="N3044" s="4"/>
      <c r="O3044" s="4"/>
      <c r="P3044" s="4"/>
      <c r="Q3044" s="4"/>
      <c r="R3044" s="4"/>
      <c r="S3044" s="4"/>
      <c r="T3044" s="4"/>
      <c r="U3044" s="4"/>
      <c r="V3044" s="4"/>
      <c r="W3044" s="4"/>
      <c r="X3044" s="4"/>
      <c r="Y3044" s="4"/>
      <c r="Z3044" s="4"/>
      <c r="AA3044" s="4"/>
      <c r="AB3044" s="5"/>
    </row>
    <row r="3045" spans="1:28" x14ac:dyDescent="0.35">
      <c r="A3045" s="3"/>
      <c r="B3045" s="4"/>
      <c r="C3045" s="4"/>
      <c r="D3045" s="4"/>
      <c r="E3045" s="4"/>
      <c r="F3045" s="4"/>
      <c r="G3045" s="4"/>
      <c r="H3045" s="4"/>
      <c r="I3045" s="4"/>
      <c r="J3045" s="4"/>
      <c r="K3045" s="4"/>
      <c r="L3045" s="4"/>
      <c r="M3045" s="4"/>
      <c r="N3045" s="4"/>
      <c r="O3045" s="4"/>
      <c r="P3045" s="4"/>
      <c r="Q3045" s="4"/>
      <c r="R3045" s="4"/>
      <c r="S3045" s="4"/>
      <c r="T3045" s="4"/>
      <c r="U3045" s="4"/>
      <c r="V3045" s="4"/>
      <c r="W3045" s="4"/>
      <c r="X3045" s="4"/>
      <c r="Y3045" s="4"/>
      <c r="Z3045" s="4"/>
      <c r="AA3045" s="4"/>
      <c r="AB3045" s="5"/>
    </row>
    <row r="3046" spans="1:28" x14ac:dyDescent="0.35">
      <c r="A3046" s="3"/>
      <c r="B3046" s="4"/>
      <c r="C3046" s="4"/>
      <c r="D3046" s="4"/>
      <c r="E3046" s="4"/>
      <c r="F3046" s="4"/>
      <c r="G3046" s="4"/>
      <c r="H3046" s="4"/>
      <c r="I3046" s="4"/>
      <c r="J3046" s="4"/>
      <c r="K3046" s="4"/>
      <c r="L3046" s="4"/>
      <c r="M3046" s="4"/>
      <c r="N3046" s="4"/>
      <c r="O3046" s="4"/>
      <c r="P3046" s="4"/>
      <c r="Q3046" s="4"/>
      <c r="R3046" s="4"/>
      <c r="S3046" s="4"/>
      <c r="T3046" s="4"/>
      <c r="U3046" s="4"/>
      <c r="V3046" s="4"/>
      <c r="W3046" s="4"/>
      <c r="X3046" s="4"/>
      <c r="Y3046" s="4"/>
      <c r="Z3046" s="4"/>
      <c r="AA3046" s="4"/>
      <c r="AB3046" s="5"/>
    </row>
    <row r="3047" spans="1:28" x14ac:dyDescent="0.35">
      <c r="A3047" s="3"/>
      <c r="B3047" s="4"/>
      <c r="C3047" s="4"/>
      <c r="D3047" s="4"/>
      <c r="E3047" s="4"/>
      <c r="F3047" s="4"/>
      <c r="G3047" s="4"/>
      <c r="H3047" s="4"/>
      <c r="I3047" s="4"/>
      <c r="J3047" s="4"/>
      <c r="K3047" s="4"/>
      <c r="L3047" s="4"/>
      <c r="M3047" s="4"/>
      <c r="N3047" s="4"/>
      <c r="O3047" s="4"/>
      <c r="P3047" s="4"/>
      <c r="Q3047" s="4"/>
      <c r="R3047" s="4"/>
      <c r="S3047" s="4"/>
      <c r="T3047" s="4"/>
      <c r="U3047" s="4"/>
      <c r="V3047" s="4"/>
      <c r="W3047" s="4"/>
      <c r="X3047" s="4"/>
      <c r="Y3047" s="4"/>
      <c r="Z3047" s="4"/>
      <c r="AA3047" s="4"/>
      <c r="AB3047" s="5"/>
    </row>
    <row r="3048" spans="1:28" x14ac:dyDescent="0.35">
      <c r="A3048" s="3"/>
      <c r="B3048" s="4"/>
      <c r="C3048" s="4"/>
      <c r="D3048" s="4"/>
      <c r="E3048" s="4"/>
      <c r="F3048" s="4"/>
      <c r="G3048" s="4"/>
      <c r="H3048" s="4"/>
      <c r="I3048" s="4"/>
      <c r="J3048" s="4"/>
      <c r="K3048" s="4"/>
      <c r="L3048" s="4"/>
      <c r="M3048" s="4"/>
      <c r="N3048" s="4"/>
      <c r="O3048" s="4"/>
      <c r="P3048" s="4"/>
      <c r="Q3048" s="4"/>
      <c r="R3048" s="4"/>
      <c r="S3048" s="4"/>
      <c r="T3048" s="4"/>
      <c r="U3048" s="4"/>
      <c r="V3048" s="4"/>
      <c r="W3048" s="4"/>
      <c r="X3048" s="4"/>
      <c r="Y3048" s="4"/>
      <c r="Z3048" s="4"/>
      <c r="AA3048" s="4"/>
      <c r="AB3048" s="5"/>
    </row>
    <row r="3049" spans="1:28" x14ac:dyDescent="0.35">
      <c r="A3049" s="3"/>
      <c r="B3049" s="4"/>
      <c r="C3049" s="4"/>
      <c r="D3049" s="4"/>
      <c r="E3049" s="4"/>
      <c r="F3049" s="4"/>
      <c r="G3049" s="4"/>
      <c r="H3049" s="4"/>
      <c r="I3049" s="4"/>
      <c r="J3049" s="4"/>
      <c r="K3049" s="4"/>
      <c r="L3049" s="4"/>
      <c r="M3049" s="4"/>
      <c r="N3049" s="4"/>
      <c r="O3049" s="4"/>
      <c r="P3049" s="4"/>
      <c r="Q3049" s="4"/>
      <c r="R3049" s="4"/>
      <c r="S3049" s="4"/>
      <c r="T3049" s="4"/>
      <c r="U3049" s="4"/>
      <c r="V3049" s="4"/>
      <c r="W3049" s="4"/>
      <c r="X3049" s="4"/>
      <c r="Y3049" s="4"/>
      <c r="Z3049" s="4"/>
      <c r="AA3049" s="4"/>
      <c r="AB3049" s="5"/>
    </row>
    <row r="3050" spans="1:28" x14ac:dyDescent="0.35">
      <c r="A3050" s="3"/>
      <c r="B3050" s="4"/>
      <c r="C3050" s="4"/>
      <c r="D3050" s="4"/>
      <c r="E3050" s="4"/>
      <c r="F3050" s="4"/>
      <c r="G3050" s="4"/>
      <c r="H3050" s="4"/>
      <c r="I3050" s="4"/>
      <c r="J3050" s="4"/>
      <c r="K3050" s="4"/>
      <c r="L3050" s="4"/>
      <c r="M3050" s="4"/>
      <c r="N3050" s="4"/>
      <c r="O3050" s="4"/>
      <c r="P3050" s="4"/>
      <c r="Q3050" s="4"/>
      <c r="R3050" s="4"/>
      <c r="S3050" s="4"/>
      <c r="T3050" s="4"/>
      <c r="U3050" s="4"/>
      <c r="V3050" s="4"/>
      <c r="W3050" s="4"/>
      <c r="X3050" s="4"/>
      <c r="Y3050" s="4"/>
      <c r="Z3050" s="4"/>
      <c r="AA3050" s="4"/>
      <c r="AB3050" s="5"/>
    </row>
    <row r="3051" spans="1:28" x14ac:dyDescent="0.35">
      <c r="A3051" s="3"/>
      <c r="B3051" s="4"/>
      <c r="C3051" s="4"/>
      <c r="D3051" s="4"/>
      <c r="E3051" s="4"/>
      <c r="F3051" s="4"/>
      <c r="G3051" s="4"/>
      <c r="H3051" s="4"/>
      <c r="I3051" s="4"/>
      <c r="J3051" s="4"/>
      <c r="K3051" s="4"/>
      <c r="L3051" s="4"/>
      <c r="M3051" s="4"/>
      <c r="N3051" s="4"/>
      <c r="O3051" s="4"/>
      <c r="P3051" s="4"/>
      <c r="Q3051" s="4"/>
      <c r="R3051" s="4"/>
      <c r="S3051" s="4"/>
      <c r="T3051" s="4"/>
      <c r="U3051" s="4"/>
      <c r="V3051" s="4"/>
      <c r="W3051" s="4"/>
      <c r="X3051" s="4"/>
      <c r="Y3051" s="4"/>
      <c r="Z3051" s="4"/>
      <c r="AA3051" s="4"/>
      <c r="AB3051" s="5"/>
    </row>
    <row r="3052" spans="1:28" x14ac:dyDescent="0.35">
      <c r="A3052" s="3"/>
      <c r="B3052" s="4"/>
      <c r="C3052" s="4"/>
      <c r="D3052" s="4"/>
      <c r="E3052" s="4"/>
      <c r="F3052" s="4"/>
      <c r="G3052" s="4"/>
      <c r="H3052" s="4"/>
      <c r="I3052" s="4"/>
      <c r="J3052" s="4"/>
      <c r="K3052" s="4"/>
      <c r="L3052" s="4"/>
      <c r="M3052" s="4"/>
      <c r="N3052" s="4"/>
      <c r="O3052" s="4"/>
      <c r="P3052" s="4"/>
      <c r="Q3052" s="4"/>
      <c r="R3052" s="4"/>
      <c r="S3052" s="4"/>
      <c r="T3052" s="4"/>
      <c r="U3052" s="4"/>
      <c r="V3052" s="4"/>
      <c r="W3052" s="4"/>
      <c r="X3052" s="4"/>
      <c r="Y3052" s="4"/>
      <c r="Z3052" s="4"/>
      <c r="AA3052" s="4"/>
      <c r="AB3052" s="5"/>
    </row>
    <row r="3053" spans="1:28" x14ac:dyDescent="0.35">
      <c r="A3053" s="3"/>
      <c r="B3053" s="4"/>
      <c r="C3053" s="4"/>
      <c r="D3053" s="4"/>
      <c r="E3053" s="4"/>
      <c r="F3053" s="4"/>
      <c r="G3053" s="4"/>
      <c r="H3053" s="4"/>
      <c r="I3053" s="4"/>
      <c r="J3053" s="4"/>
      <c r="K3053" s="4"/>
      <c r="L3053" s="4"/>
      <c r="M3053" s="4"/>
      <c r="N3053" s="4"/>
      <c r="O3053" s="4"/>
      <c r="P3053" s="4"/>
      <c r="Q3053" s="4"/>
      <c r="R3053" s="4"/>
      <c r="S3053" s="4"/>
      <c r="T3053" s="4"/>
      <c r="U3053" s="4"/>
      <c r="V3053" s="4"/>
      <c r="W3053" s="4"/>
      <c r="X3053" s="4"/>
      <c r="Y3053" s="4"/>
      <c r="Z3053" s="4"/>
      <c r="AA3053" s="4"/>
      <c r="AB3053" s="5"/>
    </row>
    <row r="3054" spans="1:28" x14ac:dyDescent="0.35">
      <c r="A3054" s="3"/>
      <c r="B3054" s="4"/>
      <c r="C3054" s="4"/>
      <c r="D3054" s="4"/>
      <c r="E3054" s="4"/>
      <c r="F3054" s="4"/>
      <c r="G3054" s="4"/>
      <c r="H3054" s="4"/>
      <c r="I3054" s="4"/>
      <c r="J3054" s="4"/>
      <c r="K3054" s="4"/>
      <c r="L3054" s="4"/>
      <c r="M3054" s="4"/>
      <c r="N3054" s="4"/>
      <c r="O3054" s="4"/>
      <c r="P3054" s="4"/>
      <c r="Q3054" s="4"/>
      <c r="R3054" s="4"/>
      <c r="S3054" s="4"/>
      <c r="T3054" s="4"/>
      <c r="U3054" s="4"/>
      <c r="V3054" s="4"/>
      <c r="W3054" s="4"/>
      <c r="X3054" s="4"/>
      <c r="Y3054" s="4"/>
      <c r="Z3054" s="4"/>
      <c r="AA3054" s="4"/>
      <c r="AB3054" s="5"/>
    </row>
    <row r="3055" spans="1:28" x14ac:dyDescent="0.35">
      <c r="A3055" s="3"/>
      <c r="B3055" s="4"/>
      <c r="C3055" s="4"/>
      <c r="D3055" s="4"/>
      <c r="E3055" s="4"/>
      <c r="F3055" s="4"/>
      <c r="G3055" s="4"/>
      <c r="H3055" s="4"/>
      <c r="I3055" s="4"/>
      <c r="J3055" s="4"/>
      <c r="K3055" s="4"/>
      <c r="L3055" s="4"/>
      <c r="M3055" s="4"/>
      <c r="N3055" s="4"/>
      <c r="O3055" s="4"/>
      <c r="P3055" s="4"/>
      <c r="Q3055" s="4"/>
      <c r="R3055" s="4"/>
      <c r="S3055" s="4"/>
      <c r="T3055" s="4"/>
      <c r="U3055" s="4"/>
      <c r="V3055" s="4"/>
      <c r="W3055" s="4"/>
      <c r="X3055" s="4"/>
      <c r="Y3055" s="4"/>
      <c r="Z3055" s="4"/>
      <c r="AA3055" s="4"/>
      <c r="AB3055" s="5"/>
    </row>
    <row r="3056" spans="1:28" x14ac:dyDescent="0.35">
      <c r="A3056" s="3"/>
      <c r="B3056" s="4"/>
      <c r="C3056" s="4"/>
      <c r="D3056" s="4"/>
      <c r="E3056" s="4"/>
      <c r="F3056" s="4"/>
      <c r="G3056" s="4"/>
      <c r="H3056" s="4"/>
      <c r="I3056" s="4"/>
      <c r="J3056" s="4"/>
      <c r="K3056" s="4"/>
      <c r="L3056" s="4"/>
      <c r="M3056" s="4"/>
      <c r="N3056" s="4"/>
      <c r="O3056" s="4"/>
      <c r="P3056" s="4"/>
      <c r="Q3056" s="4"/>
      <c r="R3056" s="4"/>
      <c r="S3056" s="4"/>
      <c r="T3056" s="4"/>
      <c r="U3056" s="4"/>
      <c r="V3056" s="4"/>
      <c r="W3056" s="4"/>
      <c r="X3056" s="4"/>
      <c r="Y3056" s="4"/>
      <c r="Z3056" s="4"/>
      <c r="AA3056" s="4"/>
      <c r="AB3056" s="5"/>
    </row>
    <row r="3057" spans="1:28" x14ac:dyDescent="0.35">
      <c r="A3057" s="3"/>
      <c r="B3057" s="4"/>
      <c r="C3057" s="4"/>
      <c r="D3057" s="4"/>
      <c r="E3057" s="4"/>
      <c r="F3057" s="4"/>
      <c r="G3057" s="4"/>
      <c r="H3057" s="4"/>
      <c r="I3057" s="4"/>
      <c r="J3057" s="4"/>
      <c r="K3057" s="4"/>
      <c r="L3057" s="4"/>
      <c r="M3057" s="4"/>
      <c r="N3057" s="4"/>
      <c r="O3057" s="4"/>
      <c r="P3057" s="4"/>
      <c r="Q3057" s="4"/>
      <c r="R3057" s="4"/>
      <c r="S3057" s="4"/>
      <c r="T3057" s="4"/>
      <c r="U3057" s="4"/>
      <c r="V3057" s="4"/>
      <c r="W3057" s="4"/>
      <c r="X3057" s="4"/>
      <c r="Y3057" s="4"/>
      <c r="Z3057" s="4"/>
      <c r="AA3057" s="4"/>
      <c r="AB3057" s="5"/>
    </row>
    <row r="3058" spans="1:28" x14ac:dyDescent="0.35">
      <c r="A3058" s="3"/>
      <c r="B3058" s="4"/>
      <c r="C3058" s="4"/>
      <c r="D3058" s="4"/>
      <c r="E3058" s="4"/>
      <c r="F3058" s="4"/>
      <c r="G3058" s="4"/>
      <c r="H3058" s="4"/>
      <c r="I3058" s="4"/>
      <c r="J3058" s="4"/>
      <c r="K3058" s="4"/>
      <c r="L3058" s="4"/>
      <c r="M3058" s="4"/>
      <c r="N3058" s="4"/>
      <c r="O3058" s="4"/>
      <c r="P3058" s="4"/>
      <c r="Q3058" s="4"/>
      <c r="R3058" s="4"/>
      <c r="S3058" s="4"/>
      <c r="T3058" s="4"/>
      <c r="U3058" s="4"/>
      <c r="V3058" s="4"/>
      <c r="W3058" s="4"/>
      <c r="X3058" s="4"/>
      <c r="Y3058" s="4"/>
      <c r="Z3058" s="4"/>
      <c r="AA3058" s="4"/>
      <c r="AB3058" s="5"/>
    </row>
    <row r="3059" spans="1:28" x14ac:dyDescent="0.35">
      <c r="A3059" s="3"/>
      <c r="B3059" s="4"/>
      <c r="C3059" s="4"/>
      <c r="D3059" s="4"/>
      <c r="E3059" s="4"/>
      <c r="F3059" s="4"/>
      <c r="G3059" s="4"/>
      <c r="H3059" s="4"/>
      <c r="I3059" s="4"/>
      <c r="J3059" s="4"/>
      <c r="K3059" s="4"/>
      <c r="L3059" s="4"/>
      <c r="M3059" s="4"/>
      <c r="N3059" s="4"/>
      <c r="O3059" s="4"/>
      <c r="P3059" s="4"/>
      <c r="Q3059" s="4"/>
      <c r="R3059" s="4"/>
      <c r="S3059" s="4"/>
      <c r="T3059" s="4"/>
      <c r="U3059" s="4"/>
      <c r="V3059" s="4"/>
      <c r="W3059" s="4"/>
      <c r="X3059" s="4"/>
      <c r="Y3059" s="4"/>
      <c r="Z3059" s="4"/>
      <c r="AA3059" s="4"/>
      <c r="AB3059" s="5"/>
    </row>
    <row r="3060" spans="1:28" x14ac:dyDescent="0.35">
      <c r="A3060" s="3"/>
      <c r="B3060" s="4"/>
      <c r="C3060" s="4"/>
      <c r="D3060" s="4"/>
      <c r="E3060" s="4"/>
      <c r="F3060" s="4"/>
      <c r="G3060" s="4"/>
      <c r="H3060" s="4"/>
      <c r="I3060" s="4"/>
      <c r="J3060" s="4"/>
      <c r="K3060" s="4"/>
      <c r="L3060" s="4"/>
      <c r="M3060" s="4"/>
      <c r="N3060" s="4"/>
      <c r="O3060" s="4"/>
      <c r="P3060" s="4"/>
      <c r="Q3060" s="4"/>
      <c r="R3060" s="4"/>
      <c r="S3060" s="4"/>
      <c r="T3060" s="4"/>
      <c r="U3060" s="4"/>
      <c r="V3060" s="4"/>
      <c r="W3060" s="4"/>
      <c r="X3060" s="4"/>
      <c r="Y3060" s="4"/>
      <c r="Z3060" s="4"/>
      <c r="AA3060" s="4"/>
      <c r="AB3060" s="5"/>
    </row>
    <row r="3061" spans="1:28" x14ac:dyDescent="0.35">
      <c r="A3061" s="3"/>
      <c r="B3061" s="4"/>
      <c r="C3061" s="4"/>
      <c r="D3061" s="4"/>
      <c r="E3061" s="4"/>
      <c r="F3061" s="4"/>
      <c r="G3061" s="4"/>
      <c r="H3061" s="4"/>
      <c r="I3061" s="4"/>
      <c r="J3061" s="4"/>
      <c r="K3061" s="4"/>
      <c r="L3061" s="4"/>
      <c r="M3061" s="4"/>
      <c r="N3061" s="4"/>
      <c r="O3061" s="4"/>
      <c r="P3061" s="4"/>
      <c r="Q3061" s="4"/>
      <c r="R3061" s="4"/>
      <c r="S3061" s="4"/>
      <c r="T3061" s="4"/>
      <c r="U3061" s="4"/>
      <c r="V3061" s="4"/>
      <c r="W3061" s="4"/>
      <c r="X3061" s="4"/>
      <c r="Y3061" s="4"/>
      <c r="Z3061" s="4"/>
      <c r="AA3061" s="4"/>
      <c r="AB3061" s="5"/>
    </row>
    <row r="3062" spans="1:28" x14ac:dyDescent="0.35">
      <c r="A3062" s="3"/>
      <c r="B3062" s="4"/>
      <c r="C3062" s="4"/>
      <c r="D3062" s="4"/>
      <c r="E3062" s="4"/>
      <c r="F3062" s="4"/>
      <c r="G3062" s="4"/>
      <c r="H3062" s="4"/>
      <c r="I3062" s="4"/>
      <c r="J3062" s="4"/>
      <c r="K3062" s="4"/>
      <c r="L3062" s="4"/>
      <c r="M3062" s="4"/>
      <c r="N3062" s="4"/>
      <c r="O3062" s="4"/>
      <c r="P3062" s="4"/>
      <c r="Q3062" s="4"/>
      <c r="R3062" s="4"/>
      <c r="S3062" s="4"/>
      <c r="T3062" s="4"/>
      <c r="U3062" s="4"/>
      <c r="V3062" s="4"/>
      <c r="W3062" s="4"/>
      <c r="X3062" s="4"/>
      <c r="Y3062" s="4"/>
      <c r="Z3062" s="4"/>
      <c r="AA3062" s="4"/>
      <c r="AB3062" s="5"/>
    </row>
    <row r="3063" spans="1:28" x14ac:dyDescent="0.35">
      <c r="A3063" s="3"/>
      <c r="B3063" s="4"/>
      <c r="C3063" s="4"/>
      <c r="D3063" s="4"/>
      <c r="E3063" s="4"/>
      <c r="F3063" s="4"/>
      <c r="G3063" s="4"/>
      <c r="H3063" s="4"/>
      <c r="I3063" s="4"/>
      <c r="J3063" s="4"/>
      <c r="K3063" s="4"/>
      <c r="L3063" s="4"/>
      <c r="M3063" s="4"/>
      <c r="N3063" s="4"/>
      <c r="O3063" s="4"/>
      <c r="P3063" s="4"/>
      <c r="Q3063" s="4"/>
      <c r="R3063" s="4"/>
      <c r="S3063" s="4"/>
      <c r="T3063" s="4"/>
      <c r="U3063" s="4"/>
      <c r="V3063" s="4"/>
      <c r="W3063" s="4"/>
      <c r="X3063" s="4"/>
      <c r="Y3063" s="4"/>
      <c r="Z3063" s="4"/>
      <c r="AA3063" s="4"/>
      <c r="AB3063" s="5"/>
    </row>
    <row r="3064" spans="1:28" x14ac:dyDescent="0.35">
      <c r="A3064" s="3"/>
      <c r="B3064" s="4"/>
      <c r="C3064" s="4"/>
      <c r="D3064" s="4"/>
      <c r="E3064" s="4"/>
      <c r="F3064" s="4"/>
      <c r="G3064" s="4"/>
      <c r="H3064" s="4"/>
      <c r="I3064" s="4"/>
      <c r="J3064" s="4"/>
      <c r="K3064" s="4"/>
      <c r="L3064" s="4"/>
      <c r="M3064" s="4"/>
      <c r="N3064" s="4"/>
      <c r="O3064" s="4"/>
      <c r="P3064" s="4"/>
      <c r="Q3064" s="4"/>
      <c r="R3064" s="4"/>
      <c r="S3064" s="4"/>
      <c r="T3064" s="4"/>
      <c r="U3064" s="4"/>
      <c r="V3064" s="4"/>
      <c r="W3064" s="4"/>
      <c r="X3064" s="4"/>
      <c r="Y3064" s="4"/>
      <c r="Z3064" s="4"/>
      <c r="AA3064" s="4"/>
      <c r="AB3064" s="5"/>
    </row>
    <row r="3065" spans="1:28" x14ac:dyDescent="0.35">
      <c r="A3065" s="3"/>
      <c r="B3065" s="4"/>
      <c r="C3065" s="4"/>
      <c r="D3065" s="4"/>
      <c r="E3065" s="4"/>
      <c r="F3065" s="4"/>
      <c r="G3065" s="4"/>
      <c r="H3065" s="4"/>
      <c r="I3065" s="4"/>
      <c r="J3065" s="4"/>
      <c r="K3065" s="4"/>
      <c r="L3065" s="4"/>
      <c r="M3065" s="4"/>
      <c r="N3065" s="4"/>
      <c r="O3065" s="4"/>
      <c r="P3065" s="4"/>
      <c r="Q3065" s="4"/>
      <c r="R3065" s="4"/>
      <c r="S3065" s="4"/>
      <c r="T3065" s="4"/>
      <c r="U3065" s="4"/>
      <c r="V3065" s="4"/>
      <c r="W3065" s="4"/>
      <c r="X3065" s="4"/>
      <c r="Y3065" s="4"/>
      <c r="Z3065" s="4"/>
      <c r="AA3065" s="4"/>
      <c r="AB3065" s="5"/>
    </row>
    <row r="3066" spans="1:28" x14ac:dyDescent="0.35">
      <c r="A3066" s="3"/>
      <c r="B3066" s="4"/>
      <c r="C3066" s="4"/>
      <c r="D3066" s="4"/>
      <c r="E3066" s="4"/>
      <c r="F3066" s="4"/>
      <c r="G3066" s="4"/>
      <c r="H3066" s="4"/>
      <c r="I3066" s="4"/>
      <c r="J3066" s="4"/>
      <c r="K3066" s="4"/>
      <c r="L3066" s="4"/>
      <c r="M3066" s="4"/>
      <c r="N3066" s="4"/>
      <c r="O3066" s="4"/>
      <c r="P3066" s="4"/>
      <c r="Q3066" s="4"/>
      <c r="R3066" s="4"/>
      <c r="S3066" s="4"/>
      <c r="T3066" s="4"/>
      <c r="U3066" s="4"/>
      <c r="V3066" s="4"/>
      <c r="W3066" s="4"/>
      <c r="X3066" s="4"/>
      <c r="Y3066" s="4"/>
      <c r="Z3066" s="4"/>
      <c r="AA3066" s="4"/>
      <c r="AB3066" s="5"/>
    </row>
    <row r="3067" spans="1:28" x14ac:dyDescent="0.35">
      <c r="A3067" s="3"/>
      <c r="B3067" s="4"/>
      <c r="C3067" s="4"/>
      <c r="D3067" s="4"/>
      <c r="E3067" s="4"/>
      <c r="F3067" s="4"/>
      <c r="G3067" s="4"/>
      <c r="H3067" s="4"/>
      <c r="I3067" s="4"/>
      <c r="J3067" s="4"/>
      <c r="K3067" s="4"/>
      <c r="L3067" s="4"/>
      <c r="M3067" s="4"/>
      <c r="N3067" s="4"/>
      <c r="O3067" s="4"/>
      <c r="P3067" s="4"/>
      <c r="Q3067" s="4"/>
      <c r="R3067" s="4"/>
      <c r="S3067" s="4"/>
      <c r="T3067" s="4"/>
      <c r="U3067" s="4"/>
      <c r="V3067" s="4"/>
      <c r="W3067" s="4"/>
      <c r="X3067" s="4"/>
      <c r="Y3067" s="4"/>
      <c r="Z3067" s="4"/>
      <c r="AA3067" s="4"/>
      <c r="AB3067" s="5"/>
    </row>
    <row r="3068" spans="1:28" x14ac:dyDescent="0.35">
      <c r="A3068" s="3"/>
      <c r="B3068" s="4"/>
      <c r="C3068" s="4"/>
      <c r="D3068" s="4"/>
      <c r="E3068" s="4"/>
      <c r="F3068" s="4"/>
      <c r="G3068" s="4"/>
      <c r="H3068" s="4"/>
      <c r="I3068" s="4"/>
      <c r="J3068" s="4"/>
      <c r="K3068" s="4"/>
      <c r="L3068" s="4"/>
      <c r="M3068" s="4"/>
      <c r="N3068" s="4"/>
      <c r="O3068" s="4"/>
      <c r="P3068" s="4"/>
      <c r="Q3068" s="4"/>
      <c r="R3068" s="4"/>
      <c r="S3068" s="4"/>
      <c r="T3068" s="4"/>
      <c r="U3068" s="4"/>
      <c r="V3068" s="4"/>
      <c r="W3068" s="4"/>
      <c r="X3068" s="4"/>
      <c r="Y3068" s="4"/>
      <c r="Z3068" s="4"/>
      <c r="AA3068" s="4"/>
      <c r="AB3068" s="5"/>
    </row>
    <row r="3069" spans="1:28" x14ac:dyDescent="0.35">
      <c r="A3069" s="3"/>
      <c r="B3069" s="4"/>
      <c r="C3069" s="4"/>
      <c r="D3069" s="4"/>
      <c r="E3069" s="4"/>
      <c r="F3069" s="4"/>
      <c r="G3069" s="4"/>
      <c r="H3069" s="4"/>
      <c r="I3069" s="4"/>
      <c r="J3069" s="4"/>
      <c r="K3069" s="4"/>
      <c r="L3069" s="4"/>
      <c r="M3069" s="4"/>
      <c r="N3069" s="4"/>
      <c r="O3069" s="4"/>
      <c r="P3069" s="4"/>
      <c r="Q3069" s="4"/>
      <c r="R3069" s="4"/>
      <c r="S3069" s="4"/>
      <c r="T3069" s="4"/>
      <c r="U3069" s="4"/>
      <c r="V3069" s="4"/>
      <c r="W3069" s="4"/>
      <c r="X3069" s="4"/>
      <c r="Y3069" s="4"/>
      <c r="Z3069" s="4"/>
      <c r="AA3069" s="4"/>
      <c r="AB3069" s="5"/>
    </row>
    <row r="3070" spans="1:28" x14ac:dyDescent="0.35">
      <c r="A3070" s="3"/>
      <c r="B3070" s="4"/>
      <c r="C3070" s="4"/>
      <c r="D3070" s="4"/>
      <c r="E3070" s="4"/>
      <c r="F3070" s="4"/>
      <c r="G3070" s="4"/>
      <c r="H3070" s="4"/>
      <c r="I3070" s="4"/>
      <c r="J3070" s="4"/>
      <c r="K3070" s="4"/>
      <c r="L3070" s="4"/>
      <c r="M3070" s="4"/>
      <c r="N3070" s="4"/>
      <c r="O3070" s="4"/>
      <c r="P3070" s="4"/>
      <c r="Q3070" s="4"/>
      <c r="R3070" s="4"/>
      <c r="S3070" s="4"/>
      <c r="T3070" s="4"/>
      <c r="U3070" s="4"/>
      <c r="V3070" s="4"/>
      <c r="W3070" s="4"/>
      <c r="X3070" s="4"/>
      <c r="Y3070" s="4"/>
      <c r="Z3070" s="4"/>
      <c r="AA3070" s="4"/>
      <c r="AB3070" s="5"/>
    </row>
    <row r="3071" spans="1:28" x14ac:dyDescent="0.35">
      <c r="A3071" s="3"/>
      <c r="B3071" s="4"/>
      <c r="C3071" s="4"/>
      <c r="D3071" s="4"/>
      <c r="E3071" s="4"/>
      <c r="F3071" s="4"/>
      <c r="G3071" s="4"/>
      <c r="H3071" s="4"/>
      <c r="I3071" s="4"/>
      <c r="J3071" s="4"/>
      <c r="K3071" s="4"/>
      <c r="L3071" s="4"/>
      <c r="M3071" s="4"/>
      <c r="N3071" s="4"/>
      <c r="O3071" s="4"/>
      <c r="P3071" s="4"/>
      <c r="Q3071" s="4"/>
      <c r="R3071" s="4"/>
      <c r="S3071" s="4"/>
      <c r="T3071" s="4"/>
      <c r="U3071" s="4"/>
      <c r="V3071" s="4"/>
      <c r="W3071" s="4"/>
      <c r="X3071" s="4"/>
      <c r="Y3071" s="4"/>
      <c r="Z3071" s="4"/>
      <c r="AA3071" s="4"/>
      <c r="AB3071" s="5"/>
    </row>
    <row r="3072" spans="1:28" x14ac:dyDescent="0.35">
      <c r="A3072" s="3"/>
      <c r="B3072" s="4"/>
      <c r="C3072" s="4"/>
      <c r="D3072" s="4"/>
      <c r="E3072" s="4"/>
      <c r="F3072" s="4"/>
      <c r="G3072" s="4"/>
      <c r="H3072" s="4"/>
      <c r="I3072" s="4"/>
      <c r="J3072" s="4"/>
      <c r="K3072" s="4"/>
      <c r="L3072" s="4"/>
      <c r="M3072" s="4"/>
      <c r="N3072" s="4"/>
      <c r="O3072" s="4"/>
      <c r="P3072" s="4"/>
      <c r="Q3072" s="4"/>
      <c r="R3072" s="4"/>
      <c r="S3072" s="4"/>
      <c r="T3072" s="4"/>
      <c r="U3072" s="4"/>
      <c r="V3072" s="4"/>
      <c r="W3072" s="4"/>
      <c r="X3072" s="4"/>
      <c r="Y3072" s="4"/>
      <c r="Z3072" s="4"/>
      <c r="AA3072" s="4"/>
      <c r="AB3072" s="5"/>
    </row>
    <row r="3073" spans="1:28" x14ac:dyDescent="0.35">
      <c r="A3073" s="3"/>
      <c r="B3073" s="4"/>
      <c r="C3073" s="4"/>
      <c r="D3073" s="4"/>
      <c r="E3073" s="4"/>
      <c r="F3073" s="4"/>
      <c r="G3073" s="4"/>
      <c r="H3073" s="4"/>
      <c r="I3073" s="4"/>
      <c r="J3073" s="4"/>
      <c r="K3073" s="4"/>
      <c r="L3073" s="4"/>
      <c r="M3073" s="4"/>
      <c r="N3073" s="4"/>
      <c r="O3073" s="4"/>
      <c r="P3073" s="4"/>
      <c r="Q3073" s="4"/>
      <c r="R3073" s="4"/>
      <c r="S3073" s="4"/>
      <c r="T3073" s="4"/>
      <c r="U3073" s="4"/>
      <c r="V3073" s="4"/>
      <c r="W3073" s="4"/>
      <c r="X3073" s="4"/>
      <c r="Y3073" s="4"/>
      <c r="Z3073" s="4"/>
      <c r="AA3073" s="4"/>
      <c r="AB3073" s="5"/>
    </row>
    <row r="3074" spans="1:28" x14ac:dyDescent="0.35">
      <c r="A3074" s="3"/>
      <c r="B3074" s="4"/>
      <c r="C3074" s="4"/>
      <c r="D3074" s="4"/>
      <c r="E3074" s="4"/>
      <c r="F3074" s="4"/>
      <c r="G3074" s="4"/>
      <c r="H3074" s="4"/>
      <c r="I3074" s="4"/>
      <c r="J3074" s="4"/>
      <c r="K3074" s="4"/>
      <c r="L3074" s="4"/>
      <c r="M3074" s="4"/>
      <c r="N3074" s="4"/>
      <c r="O3074" s="4"/>
      <c r="P3074" s="4"/>
      <c r="Q3074" s="4"/>
      <c r="R3074" s="4"/>
      <c r="S3074" s="4"/>
      <c r="T3074" s="4"/>
      <c r="U3074" s="4"/>
      <c r="V3074" s="4"/>
      <c r="W3074" s="4"/>
      <c r="X3074" s="4"/>
      <c r="Y3074" s="4"/>
      <c r="Z3074" s="4"/>
      <c r="AA3074" s="4"/>
      <c r="AB3074" s="5"/>
    </row>
    <row r="3075" spans="1:28" x14ac:dyDescent="0.35">
      <c r="A3075" s="3"/>
      <c r="B3075" s="4"/>
      <c r="C3075" s="4"/>
      <c r="D3075" s="4"/>
      <c r="E3075" s="4"/>
      <c r="F3075" s="4"/>
      <c r="G3075" s="4"/>
      <c r="H3075" s="4"/>
      <c r="I3075" s="4"/>
      <c r="J3075" s="4"/>
      <c r="K3075" s="4"/>
      <c r="L3075" s="4"/>
      <c r="M3075" s="4"/>
      <c r="N3075" s="4"/>
      <c r="O3075" s="4"/>
      <c r="P3075" s="4"/>
      <c r="Q3075" s="4"/>
      <c r="R3075" s="4"/>
      <c r="S3075" s="4"/>
      <c r="T3075" s="4"/>
      <c r="U3075" s="4"/>
      <c r="V3075" s="4"/>
      <c r="W3075" s="4"/>
      <c r="X3075" s="4"/>
      <c r="Y3075" s="4"/>
      <c r="Z3075" s="4"/>
      <c r="AA3075" s="4"/>
      <c r="AB3075" s="5"/>
    </row>
    <row r="3076" spans="1:28" x14ac:dyDescent="0.35">
      <c r="A3076" s="3"/>
      <c r="B3076" s="4"/>
      <c r="C3076" s="4"/>
      <c r="D3076" s="4"/>
      <c r="E3076" s="4"/>
      <c r="F3076" s="4"/>
      <c r="G3076" s="4"/>
      <c r="H3076" s="4"/>
      <c r="I3076" s="4"/>
      <c r="J3076" s="4"/>
      <c r="K3076" s="4"/>
      <c r="L3076" s="4"/>
      <c r="M3076" s="4"/>
      <c r="N3076" s="4"/>
      <c r="O3076" s="4"/>
      <c r="P3076" s="4"/>
      <c r="Q3076" s="4"/>
      <c r="R3076" s="4"/>
      <c r="S3076" s="4"/>
      <c r="T3076" s="4"/>
      <c r="U3076" s="4"/>
      <c r="V3076" s="4"/>
      <c r="W3076" s="4"/>
      <c r="X3076" s="4"/>
      <c r="Y3076" s="4"/>
      <c r="Z3076" s="4"/>
      <c r="AA3076" s="4"/>
      <c r="AB3076" s="5"/>
    </row>
    <row r="3077" spans="1:28" x14ac:dyDescent="0.35">
      <c r="A3077" s="3"/>
      <c r="B3077" s="4"/>
      <c r="C3077" s="4"/>
      <c r="D3077" s="4"/>
      <c r="E3077" s="4"/>
      <c r="F3077" s="4"/>
      <c r="G3077" s="4"/>
      <c r="H3077" s="4"/>
      <c r="I3077" s="4"/>
      <c r="J3077" s="4"/>
      <c r="K3077" s="4"/>
      <c r="L3077" s="4"/>
      <c r="M3077" s="4"/>
      <c r="N3077" s="4"/>
      <c r="O3077" s="4"/>
      <c r="P3077" s="4"/>
      <c r="Q3077" s="4"/>
      <c r="R3077" s="4"/>
      <c r="S3077" s="4"/>
      <c r="T3077" s="4"/>
      <c r="U3077" s="4"/>
      <c r="V3077" s="4"/>
      <c r="W3077" s="4"/>
      <c r="X3077" s="4"/>
      <c r="Y3077" s="4"/>
      <c r="Z3077" s="4"/>
      <c r="AA3077" s="4"/>
      <c r="AB3077" s="5"/>
    </row>
    <row r="3078" spans="1:28" x14ac:dyDescent="0.35">
      <c r="A3078" s="3"/>
      <c r="B3078" s="4"/>
      <c r="C3078" s="4"/>
      <c r="D3078" s="4"/>
      <c r="E3078" s="4"/>
      <c r="F3078" s="4"/>
      <c r="G3078" s="4"/>
      <c r="H3078" s="4"/>
      <c r="I3078" s="4"/>
      <c r="J3078" s="4"/>
      <c r="K3078" s="4"/>
      <c r="L3078" s="4"/>
      <c r="M3078" s="4"/>
      <c r="N3078" s="4"/>
      <c r="O3078" s="4"/>
      <c r="P3078" s="4"/>
      <c r="Q3078" s="4"/>
      <c r="R3078" s="4"/>
      <c r="S3078" s="4"/>
      <c r="T3078" s="4"/>
      <c r="U3078" s="4"/>
      <c r="V3078" s="4"/>
      <c r="W3078" s="4"/>
      <c r="X3078" s="4"/>
      <c r="Y3078" s="4"/>
      <c r="Z3078" s="4"/>
      <c r="AA3078" s="4"/>
      <c r="AB3078" s="5"/>
    </row>
    <row r="3079" spans="1:28" x14ac:dyDescent="0.35">
      <c r="A3079" s="3"/>
      <c r="B3079" s="4"/>
      <c r="C3079" s="4"/>
      <c r="D3079" s="4"/>
      <c r="E3079" s="4"/>
      <c r="F3079" s="4"/>
      <c r="G3079" s="4"/>
      <c r="H3079" s="4"/>
      <c r="I3079" s="4"/>
      <c r="J3079" s="4"/>
      <c r="K3079" s="4"/>
      <c r="L3079" s="4"/>
      <c r="M3079" s="4"/>
      <c r="N3079" s="4"/>
      <c r="O3079" s="4"/>
      <c r="P3079" s="4"/>
      <c r="Q3079" s="4"/>
      <c r="R3079" s="4"/>
      <c r="S3079" s="4"/>
      <c r="T3079" s="4"/>
      <c r="U3079" s="4"/>
      <c r="V3079" s="4"/>
      <c r="W3079" s="4"/>
      <c r="X3079" s="4"/>
      <c r="Y3079" s="4"/>
      <c r="Z3079" s="4"/>
      <c r="AA3079" s="4"/>
      <c r="AB3079" s="5"/>
    </row>
    <row r="3080" spans="1:28" x14ac:dyDescent="0.35">
      <c r="A3080" s="3"/>
      <c r="B3080" s="4"/>
      <c r="C3080" s="4"/>
      <c r="D3080" s="4"/>
      <c r="E3080" s="4"/>
      <c r="F3080" s="4"/>
      <c r="G3080" s="4"/>
      <c r="H3080" s="4"/>
      <c r="I3080" s="4"/>
      <c r="J3080" s="4"/>
      <c r="K3080" s="4"/>
      <c r="L3080" s="4"/>
      <c r="M3080" s="4"/>
      <c r="N3080" s="4"/>
      <c r="O3080" s="4"/>
      <c r="P3080" s="4"/>
      <c r="Q3080" s="4"/>
      <c r="R3080" s="4"/>
      <c r="S3080" s="4"/>
      <c r="T3080" s="4"/>
      <c r="U3080" s="4"/>
      <c r="V3080" s="4"/>
      <c r="W3080" s="4"/>
      <c r="X3080" s="4"/>
      <c r="Y3080" s="4"/>
      <c r="Z3080" s="4"/>
      <c r="AA3080" s="4"/>
      <c r="AB3080" s="5"/>
    </row>
    <row r="3081" spans="1:28" x14ac:dyDescent="0.35">
      <c r="A3081" s="3"/>
      <c r="B3081" s="4"/>
      <c r="C3081" s="4"/>
      <c r="D3081" s="4"/>
      <c r="E3081" s="4"/>
      <c r="F3081" s="4"/>
      <c r="G3081" s="4"/>
      <c r="H3081" s="4"/>
      <c r="I3081" s="4"/>
      <c r="J3081" s="4"/>
      <c r="K3081" s="4"/>
      <c r="L3081" s="4"/>
      <c r="M3081" s="4"/>
      <c r="N3081" s="4"/>
      <c r="O3081" s="4"/>
      <c r="P3081" s="4"/>
      <c r="Q3081" s="4"/>
      <c r="R3081" s="4"/>
      <c r="S3081" s="4"/>
      <c r="T3081" s="4"/>
      <c r="U3081" s="4"/>
      <c r="V3081" s="4"/>
      <c r="W3081" s="4"/>
      <c r="X3081" s="4"/>
      <c r="Y3081" s="4"/>
      <c r="Z3081" s="4"/>
      <c r="AA3081" s="4"/>
      <c r="AB3081" s="5"/>
    </row>
    <row r="3082" spans="1:28" x14ac:dyDescent="0.35">
      <c r="A3082" s="3"/>
      <c r="B3082" s="4"/>
      <c r="C3082" s="4"/>
      <c r="D3082" s="4"/>
      <c r="E3082" s="4"/>
      <c r="F3082" s="4"/>
      <c r="G3082" s="4"/>
      <c r="H3082" s="4"/>
      <c r="I3082" s="4"/>
      <c r="J3082" s="4"/>
      <c r="K3082" s="4"/>
      <c r="L3082" s="4"/>
      <c r="M3082" s="4"/>
      <c r="N3082" s="4"/>
      <c r="O3082" s="4"/>
      <c r="P3082" s="4"/>
      <c r="Q3082" s="4"/>
      <c r="R3082" s="4"/>
      <c r="S3082" s="4"/>
      <c r="T3082" s="4"/>
      <c r="U3082" s="4"/>
      <c r="V3082" s="4"/>
      <c r="W3082" s="4"/>
      <c r="X3082" s="4"/>
      <c r="Y3082" s="4"/>
      <c r="Z3082" s="4"/>
      <c r="AA3082" s="4"/>
      <c r="AB3082" s="5"/>
    </row>
    <row r="3083" spans="1:28" x14ac:dyDescent="0.35">
      <c r="A3083" s="3"/>
      <c r="B3083" s="4"/>
      <c r="C3083" s="4"/>
      <c r="D3083" s="4"/>
      <c r="E3083" s="4"/>
      <c r="F3083" s="4"/>
      <c r="G3083" s="4"/>
      <c r="H3083" s="4"/>
      <c r="I3083" s="4"/>
      <c r="J3083" s="4"/>
      <c r="K3083" s="4"/>
      <c r="L3083" s="4"/>
      <c r="M3083" s="4"/>
      <c r="N3083" s="4"/>
      <c r="O3083" s="4"/>
      <c r="P3083" s="4"/>
      <c r="Q3083" s="4"/>
      <c r="R3083" s="4"/>
      <c r="S3083" s="4"/>
      <c r="T3083" s="4"/>
      <c r="U3083" s="4"/>
      <c r="V3083" s="4"/>
      <c r="W3083" s="4"/>
      <c r="X3083" s="4"/>
      <c r="Y3083" s="4"/>
      <c r="Z3083" s="4"/>
      <c r="AA3083" s="4"/>
      <c r="AB3083" s="5"/>
    </row>
    <row r="3084" spans="1:28" x14ac:dyDescent="0.35">
      <c r="A3084" s="3"/>
      <c r="B3084" s="4"/>
      <c r="C3084" s="4"/>
      <c r="D3084" s="4"/>
      <c r="E3084" s="4"/>
      <c r="F3084" s="4"/>
      <c r="G3084" s="4"/>
      <c r="H3084" s="4"/>
      <c r="I3084" s="4"/>
      <c r="J3084" s="4"/>
      <c r="K3084" s="4"/>
      <c r="L3084" s="4"/>
      <c r="M3084" s="4"/>
      <c r="N3084" s="4"/>
      <c r="O3084" s="4"/>
      <c r="P3084" s="4"/>
      <c r="Q3084" s="4"/>
      <c r="R3084" s="4"/>
      <c r="S3084" s="4"/>
      <c r="T3084" s="4"/>
      <c r="U3084" s="4"/>
      <c r="V3084" s="4"/>
      <c r="W3084" s="4"/>
      <c r="X3084" s="4"/>
      <c r="Y3084" s="4"/>
      <c r="Z3084" s="4"/>
      <c r="AA3084" s="4"/>
      <c r="AB3084" s="5"/>
    </row>
    <row r="3085" spans="1:28" x14ac:dyDescent="0.35">
      <c r="A3085" s="3"/>
      <c r="B3085" s="4"/>
      <c r="C3085" s="4"/>
      <c r="D3085" s="4"/>
      <c r="E3085" s="4"/>
      <c r="F3085" s="4"/>
      <c r="G3085" s="4"/>
      <c r="H3085" s="4"/>
      <c r="I3085" s="4"/>
      <c r="J3085" s="4"/>
      <c r="K3085" s="4"/>
      <c r="L3085" s="4"/>
      <c r="M3085" s="4"/>
      <c r="N3085" s="4"/>
      <c r="O3085" s="4"/>
      <c r="P3085" s="4"/>
      <c r="Q3085" s="4"/>
      <c r="R3085" s="4"/>
      <c r="S3085" s="4"/>
      <c r="T3085" s="4"/>
      <c r="U3085" s="4"/>
      <c r="V3085" s="4"/>
      <c r="W3085" s="4"/>
      <c r="X3085" s="4"/>
      <c r="Y3085" s="4"/>
      <c r="Z3085" s="4"/>
      <c r="AA3085" s="4"/>
      <c r="AB3085" s="5"/>
    </row>
    <row r="3086" spans="1:28" x14ac:dyDescent="0.35">
      <c r="A3086" s="3"/>
      <c r="B3086" s="4"/>
      <c r="C3086" s="4"/>
      <c r="D3086" s="4"/>
      <c r="E3086" s="4"/>
      <c r="F3086" s="4"/>
      <c r="G3086" s="4"/>
      <c r="H3086" s="4"/>
      <c r="I3086" s="4"/>
      <c r="J3086" s="4"/>
      <c r="K3086" s="4"/>
      <c r="L3086" s="4"/>
      <c r="M3086" s="4"/>
      <c r="N3086" s="4"/>
      <c r="O3086" s="4"/>
      <c r="P3086" s="4"/>
      <c r="Q3086" s="4"/>
      <c r="R3086" s="4"/>
      <c r="S3086" s="4"/>
      <c r="T3086" s="4"/>
      <c r="U3086" s="4"/>
      <c r="V3086" s="4"/>
      <c r="W3086" s="4"/>
      <c r="X3086" s="4"/>
      <c r="Y3086" s="4"/>
      <c r="Z3086" s="4"/>
      <c r="AA3086" s="4"/>
      <c r="AB3086" s="5"/>
    </row>
    <row r="3087" spans="1:28" x14ac:dyDescent="0.35">
      <c r="A3087" s="3"/>
      <c r="B3087" s="4"/>
      <c r="C3087" s="4"/>
      <c r="D3087" s="4"/>
      <c r="E3087" s="4"/>
      <c r="F3087" s="4"/>
      <c r="G3087" s="4"/>
      <c r="H3087" s="4"/>
      <c r="I3087" s="4"/>
      <c r="J3087" s="4"/>
      <c r="K3087" s="4"/>
      <c r="L3087" s="4"/>
      <c r="M3087" s="4"/>
      <c r="N3087" s="4"/>
      <c r="O3087" s="4"/>
      <c r="P3087" s="4"/>
      <c r="Q3087" s="4"/>
      <c r="R3087" s="4"/>
      <c r="S3087" s="4"/>
      <c r="T3087" s="4"/>
      <c r="U3087" s="4"/>
      <c r="V3087" s="4"/>
      <c r="W3087" s="4"/>
      <c r="X3087" s="4"/>
      <c r="Y3087" s="4"/>
      <c r="Z3087" s="4"/>
      <c r="AA3087" s="4"/>
      <c r="AB3087" s="5"/>
    </row>
    <row r="3088" spans="1:28" x14ac:dyDescent="0.35">
      <c r="A3088" s="3"/>
      <c r="B3088" s="4"/>
      <c r="C3088" s="4"/>
      <c r="D3088" s="4"/>
      <c r="E3088" s="4"/>
      <c r="F3088" s="4"/>
      <c r="G3088" s="4"/>
      <c r="H3088" s="4"/>
      <c r="I3088" s="4"/>
      <c r="J3088" s="4"/>
      <c r="K3088" s="4"/>
      <c r="L3088" s="4"/>
      <c r="M3088" s="4"/>
      <c r="N3088" s="4"/>
      <c r="O3088" s="4"/>
      <c r="P3088" s="4"/>
      <c r="Q3088" s="4"/>
      <c r="R3088" s="4"/>
      <c r="S3088" s="4"/>
      <c r="T3088" s="4"/>
      <c r="U3088" s="4"/>
      <c r="V3088" s="4"/>
      <c r="W3088" s="4"/>
      <c r="X3088" s="4"/>
      <c r="Y3088" s="4"/>
      <c r="Z3088" s="4"/>
      <c r="AA3088" s="4"/>
      <c r="AB3088" s="5"/>
    </row>
    <row r="3089" spans="1:28" x14ac:dyDescent="0.35">
      <c r="A3089" s="3"/>
      <c r="B3089" s="4"/>
      <c r="C3089" s="4"/>
      <c r="D3089" s="4"/>
      <c r="E3089" s="4"/>
      <c r="F3089" s="4"/>
      <c r="G3089" s="4"/>
      <c r="H3089" s="4"/>
      <c r="I3089" s="4"/>
      <c r="J3089" s="4"/>
      <c r="K3089" s="4"/>
      <c r="L3089" s="4"/>
      <c r="M3089" s="4"/>
      <c r="N3089" s="4"/>
      <c r="O3089" s="4"/>
      <c r="P3089" s="4"/>
      <c r="Q3089" s="4"/>
      <c r="R3089" s="4"/>
      <c r="S3089" s="4"/>
      <c r="T3089" s="4"/>
      <c r="U3089" s="4"/>
      <c r="V3089" s="4"/>
      <c r="W3089" s="4"/>
      <c r="X3089" s="4"/>
      <c r="Y3089" s="4"/>
      <c r="Z3089" s="4"/>
      <c r="AA3089" s="4"/>
      <c r="AB3089" s="5"/>
    </row>
    <row r="3090" spans="1:28" x14ac:dyDescent="0.35">
      <c r="A3090" s="3"/>
      <c r="B3090" s="4"/>
      <c r="C3090" s="4"/>
      <c r="D3090" s="4"/>
      <c r="E3090" s="4"/>
      <c r="F3090" s="4"/>
      <c r="G3090" s="4"/>
      <c r="H3090" s="4"/>
      <c r="I3090" s="4"/>
      <c r="J3090" s="4"/>
      <c r="K3090" s="4"/>
      <c r="L3090" s="4"/>
      <c r="M3090" s="4"/>
      <c r="N3090" s="4"/>
      <c r="O3090" s="4"/>
      <c r="P3090" s="4"/>
      <c r="Q3090" s="4"/>
      <c r="R3090" s="4"/>
      <c r="S3090" s="4"/>
      <c r="T3090" s="4"/>
      <c r="U3090" s="4"/>
      <c r="V3090" s="4"/>
      <c r="W3090" s="4"/>
      <c r="X3090" s="4"/>
      <c r="Y3090" s="4"/>
      <c r="Z3090" s="4"/>
      <c r="AA3090" s="4"/>
      <c r="AB3090" s="5"/>
    </row>
    <row r="3091" spans="1:28" x14ac:dyDescent="0.35">
      <c r="A3091" s="3"/>
      <c r="B3091" s="4"/>
      <c r="C3091" s="4"/>
      <c r="D3091" s="4"/>
      <c r="E3091" s="4"/>
      <c r="F3091" s="4"/>
      <c r="G3091" s="4"/>
      <c r="H3091" s="4"/>
      <c r="I3091" s="4"/>
      <c r="J3091" s="4"/>
      <c r="K3091" s="4"/>
      <c r="L3091" s="4"/>
      <c r="M3091" s="4"/>
      <c r="N3091" s="4"/>
      <c r="O3091" s="4"/>
      <c r="P3091" s="4"/>
      <c r="Q3091" s="4"/>
      <c r="R3091" s="4"/>
      <c r="S3091" s="4"/>
      <c r="T3091" s="4"/>
      <c r="U3091" s="4"/>
      <c r="V3091" s="4"/>
      <c r="W3091" s="4"/>
      <c r="X3091" s="4"/>
      <c r="Y3091" s="4"/>
      <c r="Z3091" s="4"/>
      <c r="AA3091" s="4"/>
      <c r="AB3091" s="5"/>
    </row>
    <row r="3092" spans="1:28" x14ac:dyDescent="0.35">
      <c r="A3092" s="3"/>
      <c r="B3092" s="4"/>
      <c r="C3092" s="4"/>
      <c r="D3092" s="4"/>
      <c r="E3092" s="4"/>
      <c r="F3092" s="4"/>
      <c r="G3092" s="4"/>
      <c r="H3092" s="4"/>
      <c r="I3092" s="4"/>
      <c r="J3092" s="4"/>
      <c r="K3092" s="4"/>
      <c r="L3092" s="4"/>
      <c r="M3092" s="4"/>
      <c r="N3092" s="4"/>
      <c r="O3092" s="4"/>
      <c r="P3092" s="4"/>
      <c r="Q3092" s="4"/>
      <c r="R3092" s="4"/>
      <c r="S3092" s="4"/>
      <c r="T3092" s="4"/>
      <c r="U3092" s="4"/>
      <c r="V3092" s="4"/>
      <c r="W3092" s="4"/>
      <c r="X3092" s="4"/>
      <c r="Y3092" s="4"/>
      <c r="Z3092" s="4"/>
      <c r="AA3092" s="4"/>
      <c r="AB3092" s="5"/>
    </row>
    <row r="3093" spans="1:28" x14ac:dyDescent="0.35">
      <c r="A3093" s="3"/>
      <c r="B3093" s="4"/>
      <c r="C3093" s="4"/>
      <c r="D3093" s="4"/>
      <c r="E3093" s="4"/>
      <c r="F3093" s="4"/>
      <c r="G3093" s="4"/>
      <c r="H3093" s="4"/>
      <c r="I3093" s="4"/>
      <c r="J3093" s="4"/>
      <c r="K3093" s="4"/>
      <c r="L3093" s="4"/>
      <c r="M3093" s="4"/>
      <c r="N3093" s="4"/>
      <c r="O3093" s="4"/>
      <c r="P3093" s="4"/>
      <c r="Q3093" s="4"/>
      <c r="R3093" s="4"/>
      <c r="S3093" s="4"/>
      <c r="T3093" s="4"/>
      <c r="U3093" s="4"/>
      <c r="V3093" s="4"/>
      <c r="W3093" s="4"/>
      <c r="X3093" s="4"/>
      <c r="Y3093" s="4"/>
      <c r="Z3093" s="4"/>
      <c r="AA3093" s="4"/>
      <c r="AB3093" s="5"/>
    </row>
    <row r="3094" spans="1:28" x14ac:dyDescent="0.35">
      <c r="A3094" s="3"/>
      <c r="B3094" s="4"/>
      <c r="C3094" s="4"/>
      <c r="D3094" s="4"/>
      <c r="E3094" s="4"/>
      <c r="F3094" s="4"/>
      <c r="G3094" s="4"/>
      <c r="H3094" s="4"/>
      <c r="I3094" s="4"/>
      <c r="J3094" s="4"/>
      <c r="K3094" s="4"/>
      <c r="L3094" s="4"/>
      <c r="M3094" s="4"/>
      <c r="N3094" s="4"/>
      <c r="O3094" s="4"/>
      <c r="P3094" s="4"/>
      <c r="Q3094" s="4"/>
      <c r="R3094" s="4"/>
      <c r="S3094" s="4"/>
      <c r="T3094" s="4"/>
      <c r="U3094" s="4"/>
      <c r="V3094" s="4"/>
      <c r="W3094" s="4"/>
      <c r="X3094" s="4"/>
      <c r="Y3094" s="4"/>
      <c r="Z3094" s="4"/>
      <c r="AA3094" s="4"/>
      <c r="AB3094" s="5"/>
    </row>
    <row r="3095" spans="1:28" x14ac:dyDescent="0.35">
      <c r="A3095" s="3"/>
      <c r="B3095" s="4"/>
      <c r="C3095" s="4"/>
      <c r="D3095" s="4"/>
      <c r="E3095" s="4"/>
      <c r="F3095" s="4"/>
      <c r="G3095" s="4"/>
      <c r="H3095" s="4"/>
      <c r="I3095" s="4"/>
      <c r="J3095" s="4"/>
      <c r="K3095" s="4"/>
      <c r="L3095" s="4"/>
      <c r="M3095" s="4"/>
      <c r="N3095" s="4"/>
      <c r="O3095" s="4"/>
      <c r="P3095" s="4"/>
      <c r="Q3095" s="4"/>
      <c r="R3095" s="4"/>
      <c r="S3095" s="4"/>
      <c r="T3095" s="4"/>
      <c r="U3095" s="4"/>
      <c r="V3095" s="4"/>
      <c r="W3095" s="4"/>
      <c r="X3095" s="4"/>
      <c r="Y3095" s="4"/>
      <c r="Z3095" s="4"/>
      <c r="AA3095" s="4"/>
      <c r="AB3095" s="5"/>
    </row>
    <row r="3096" spans="1:28" x14ac:dyDescent="0.35">
      <c r="A3096" s="3"/>
      <c r="B3096" s="4"/>
      <c r="C3096" s="4"/>
      <c r="D3096" s="4"/>
      <c r="E3096" s="4"/>
      <c r="F3096" s="4"/>
      <c r="G3096" s="4"/>
      <c r="H3096" s="4"/>
      <c r="I3096" s="4"/>
      <c r="J3096" s="4"/>
      <c r="K3096" s="4"/>
      <c r="L3096" s="4"/>
      <c r="M3096" s="4"/>
      <c r="N3096" s="4"/>
      <c r="O3096" s="4"/>
      <c r="P3096" s="4"/>
      <c r="Q3096" s="4"/>
      <c r="R3096" s="4"/>
      <c r="S3096" s="4"/>
      <c r="T3096" s="4"/>
      <c r="U3096" s="4"/>
      <c r="V3096" s="4"/>
      <c r="W3096" s="4"/>
      <c r="X3096" s="4"/>
      <c r="Y3096" s="4"/>
      <c r="Z3096" s="4"/>
      <c r="AA3096" s="4"/>
      <c r="AB3096" s="5"/>
    </row>
    <row r="3097" spans="1:28" x14ac:dyDescent="0.35">
      <c r="A3097" s="3"/>
      <c r="B3097" s="4"/>
      <c r="C3097" s="4"/>
      <c r="D3097" s="4"/>
      <c r="E3097" s="4"/>
      <c r="F3097" s="4"/>
      <c r="G3097" s="4"/>
      <c r="H3097" s="4"/>
      <c r="I3097" s="4"/>
      <c r="J3097" s="4"/>
      <c r="K3097" s="4"/>
      <c r="L3097" s="4"/>
      <c r="M3097" s="4"/>
      <c r="N3097" s="4"/>
      <c r="O3097" s="4"/>
      <c r="P3097" s="4"/>
      <c r="Q3097" s="4"/>
      <c r="R3097" s="4"/>
      <c r="S3097" s="4"/>
      <c r="T3097" s="4"/>
      <c r="U3097" s="4"/>
      <c r="V3097" s="4"/>
      <c r="W3097" s="4"/>
      <c r="X3097" s="4"/>
      <c r="Y3097" s="4"/>
      <c r="Z3097" s="4"/>
      <c r="AA3097" s="4"/>
      <c r="AB3097" s="5"/>
    </row>
    <row r="3098" spans="1:28" x14ac:dyDescent="0.35">
      <c r="A3098" s="3"/>
      <c r="B3098" s="4"/>
      <c r="C3098" s="4"/>
      <c r="D3098" s="4"/>
      <c r="E3098" s="4"/>
      <c r="F3098" s="4"/>
      <c r="G3098" s="4"/>
      <c r="H3098" s="4"/>
      <c r="I3098" s="4"/>
      <c r="J3098" s="4"/>
      <c r="K3098" s="4"/>
      <c r="L3098" s="4"/>
      <c r="M3098" s="4"/>
      <c r="N3098" s="4"/>
      <c r="O3098" s="4"/>
      <c r="P3098" s="4"/>
      <c r="Q3098" s="4"/>
      <c r="R3098" s="4"/>
      <c r="S3098" s="4"/>
      <c r="T3098" s="4"/>
      <c r="U3098" s="4"/>
      <c r="V3098" s="4"/>
      <c r="W3098" s="4"/>
      <c r="X3098" s="4"/>
      <c r="Y3098" s="4"/>
      <c r="Z3098" s="4"/>
      <c r="AA3098" s="4"/>
      <c r="AB3098" s="5"/>
    </row>
    <row r="3099" spans="1:28" x14ac:dyDescent="0.35">
      <c r="A3099" s="3"/>
      <c r="B3099" s="4"/>
      <c r="C3099" s="4"/>
      <c r="D3099" s="4"/>
      <c r="E3099" s="4"/>
      <c r="F3099" s="4"/>
      <c r="G3099" s="4"/>
      <c r="H3099" s="4"/>
      <c r="I3099" s="4"/>
      <c r="J3099" s="4"/>
      <c r="K3099" s="4"/>
      <c r="L3099" s="4"/>
      <c r="M3099" s="4"/>
      <c r="N3099" s="4"/>
      <c r="O3099" s="4"/>
      <c r="P3099" s="4"/>
      <c r="Q3099" s="4"/>
      <c r="R3099" s="4"/>
      <c r="S3099" s="4"/>
      <c r="T3099" s="4"/>
      <c r="U3099" s="4"/>
      <c r="V3099" s="4"/>
      <c r="W3099" s="4"/>
      <c r="X3099" s="4"/>
      <c r="Y3099" s="4"/>
      <c r="Z3099" s="4"/>
      <c r="AA3099" s="4"/>
      <c r="AB3099" s="5"/>
    </row>
    <row r="3100" spans="1:28" x14ac:dyDescent="0.35">
      <c r="A3100" s="3"/>
      <c r="B3100" s="4"/>
      <c r="C3100" s="4"/>
      <c r="D3100" s="4"/>
      <c r="E3100" s="4"/>
      <c r="F3100" s="4"/>
      <c r="G3100" s="4"/>
      <c r="H3100" s="4"/>
      <c r="I3100" s="4"/>
      <c r="J3100" s="4"/>
      <c r="K3100" s="4"/>
      <c r="L3100" s="4"/>
      <c r="M3100" s="4"/>
      <c r="N3100" s="4"/>
      <c r="O3100" s="4"/>
      <c r="P3100" s="4"/>
      <c r="Q3100" s="4"/>
      <c r="R3100" s="4"/>
      <c r="S3100" s="4"/>
      <c r="T3100" s="4"/>
      <c r="U3100" s="4"/>
      <c r="V3100" s="4"/>
      <c r="W3100" s="4"/>
      <c r="X3100" s="4"/>
      <c r="Y3100" s="4"/>
      <c r="Z3100" s="4"/>
      <c r="AA3100" s="4"/>
      <c r="AB3100" s="5"/>
    </row>
    <row r="3101" spans="1:28" x14ac:dyDescent="0.35">
      <c r="A3101" s="3"/>
      <c r="B3101" s="4"/>
      <c r="C3101" s="4"/>
      <c r="D3101" s="4"/>
      <c r="E3101" s="4"/>
      <c r="F3101" s="4"/>
      <c r="G3101" s="4"/>
      <c r="H3101" s="4"/>
      <c r="I3101" s="4"/>
      <c r="J3101" s="4"/>
      <c r="K3101" s="4"/>
      <c r="L3101" s="4"/>
      <c r="M3101" s="4"/>
      <c r="N3101" s="4"/>
      <c r="O3101" s="4"/>
      <c r="P3101" s="4"/>
      <c r="Q3101" s="4"/>
      <c r="R3101" s="4"/>
      <c r="S3101" s="4"/>
      <c r="T3101" s="4"/>
      <c r="U3101" s="4"/>
      <c r="V3101" s="4"/>
      <c r="W3101" s="4"/>
      <c r="X3101" s="4"/>
      <c r="Y3101" s="4"/>
      <c r="Z3101" s="4"/>
      <c r="AA3101" s="4"/>
      <c r="AB3101" s="5"/>
    </row>
    <row r="3102" spans="1:28" x14ac:dyDescent="0.35">
      <c r="A3102" s="3"/>
      <c r="B3102" s="4"/>
      <c r="C3102" s="4"/>
      <c r="D3102" s="4"/>
      <c r="E3102" s="4"/>
      <c r="F3102" s="4"/>
      <c r="G3102" s="4"/>
      <c r="H3102" s="4"/>
      <c r="I3102" s="4"/>
      <c r="J3102" s="4"/>
      <c r="K3102" s="4"/>
      <c r="L3102" s="4"/>
      <c r="M3102" s="4"/>
      <c r="N3102" s="4"/>
      <c r="O3102" s="4"/>
      <c r="P3102" s="4"/>
      <c r="Q3102" s="4"/>
      <c r="R3102" s="4"/>
      <c r="S3102" s="4"/>
      <c r="T3102" s="4"/>
      <c r="U3102" s="4"/>
      <c r="V3102" s="4"/>
      <c r="W3102" s="4"/>
      <c r="X3102" s="4"/>
      <c r="Y3102" s="4"/>
      <c r="Z3102" s="4"/>
      <c r="AA3102" s="4"/>
      <c r="AB3102" s="5"/>
    </row>
    <row r="3103" spans="1:28" x14ac:dyDescent="0.35">
      <c r="A3103" s="3"/>
      <c r="B3103" s="4"/>
      <c r="C3103" s="4"/>
      <c r="D3103" s="4"/>
      <c r="E3103" s="4"/>
      <c r="F3103" s="4"/>
      <c r="G3103" s="4"/>
      <c r="H3103" s="4"/>
      <c r="I3103" s="4"/>
      <c r="J3103" s="4"/>
      <c r="K3103" s="4"/>
      <c r="L3103" s="4"/>
      <c r="M3103" s="4"/>
      <c r="N3103" s="4"/>
      <c r="O3103" s="4"/>
      <c r="P3103" s="4"/>
      <c r="Q3103" s="4"/>
      <c r="R3103" s="4"/>
      <c r="S3103" s="4"/>
      <c r="T3103" s="4"/>
      <c r="U3103" s="4"/>
      <c r="V3103" s="4"/>
      <c r="W3103" s="4"/>
      <c r="X3103" s="4"/>
      <c r="Y3103" s="4"/>
      <c r="Z3103" s="4"/>
      <c r="AA3103" s="4"/>
      <c r="AB3103" s="5"/>
    </row>
    <row r="3104" spans="1:28" x14ac:dyDescent="0.35">
      <c r="A3104" s="3"/>
      <c r="B3104" s="4"/>
      <c r="C3104" s="4"/>
      <c r="D3104" s="4"/>
      <c r="E3104" s="4"/>
      <c r="F3104" s="4"/>
      <c r="G3104" s="4"/>
      <c r="H3104" s="4"/>
      <c r="I3104" s="4"/>
      <c r="J3104" s="4"/>
      <c r="K3104" s="4"/>
      <c r="L3104" s="4"/>
      <c r="M3104" s="4"/>
      <c r="N3104" s="4"/>
      <c r="O3104" s="4"/>
      <c r="P3104" s="4"/>
      <c r="Q3104" s="4"/>
      <c r="R3104" s="4"/>
      <c r="S3104" s="4"/>
      <c r="T3104" s="4"/>
      <c r="U3104" s="4"/>
      <c r="V3104" s="4"/>
      <c r="W3104" s="4"/>
      <c r="X3104" s="4"/>
      <c r="Y3104" s="4"/>
      <c r="Z3104" s="4"/>
      <c r="AA3104" s="4"/>
      <c r="AB3104" s="5"/>
    </row>
    <row r="3105" spans="1:28" x14ac:dyDescent="0.35">
      <c r="A3105" s="3"/>
      <c r="B3105" s="4"/>
      <c r="C3105" s="4"/>
      <c r="D3105" s="4"/>
      <c r="E3105" s="4"/>
      <c r="F3105" s="4"/>
      <c r="G3105" s="4"/>
      <c r="H3105" s="4"/>
      <c r="I3105" s="4"/>
      <c r="J3105" s="4"/>
      <c r="K3105" s="4"/>
      <c r="L3105" s="4"/>
      <c r="M3105" s="4"/>
      <c r="N3105" s="4"/>
      <c r="O3105" s="4"/>
      <c r="P3105" s="4"/>
      <c r="Q3105" s="4"/>
      <c r="R3105" s="4"/>
      <c r="S3105" s="4"/>
      <c r="T3105" s="4"/>
      <c r="U3105" s="4"/>
      <c r="V3105" s="4"/>
      <c r="W3105" s="4"/>
      <c r="X3105" s="4"/>
      <c r="Y3105" s="4"/>
      <c r="Z3105" s="4"/>
      <c r="AA3105" s="4"/>
      <c r="AB3105" s="5"/>
    </row>
    <row r="3106" spans="1:28" x14ac:dyDescent="0.35">
      <c r="A3106" s="3"/>
      <c r="B3106" s="4"/>
      <c r="C3106" s="4"/>
      <c r="D3106" s="4"/>
      <c r="E3106" s="4"/>
      <c r="F3106" s="4"/>
      <c r="G3106" s="4"/>
      <c r="H3106" s="4"/>
      <c r="I3106" s="4"/>
      <c r="J3106" s="4"/>
      <c r="K3106" s="4"/>
      <c r="L3106" s="4"/>
      <c r="M3106" s="4"/>
      <c r="N3106" s="4"/>
      <c r="O3106" s="4"/>
      <c r="P3106" s="4"/>
      <c r="Q3106" s="4"/>
      <c r="R3106" s="4"/>
      <c r="S3106" s="4"/>
      <c r="T3106" s="4"/>
      <c r="U3106" s="4"/>
      <c r="V3106" s="4"/>
      <c r="W3106" s="4"/>
      <c r="X3106" s="4"/>
      <c r="Y3106" s="4"/>
      <c r="Z3106" s="4"/>
      <c r="AA3106" s="4"/>
      <c r="AB3106" s="5"/>
    </row>
    <row r="3107" spans="1:28" x14ac:dyDescent="0.35">
      <c r="A3107" s="3"/>
      <c r="B3107" s="4"/>
      <c r="C3107" s="4"/>
      <c r="D3107" s="4"/>
      <c r="E3107" s="4"/>
      <c r="F3107" s="4"/>
      <c r="G3107" s="4"/>
      <c r="H3107" s="4"/>
      <c r="I3107" s="4"/>
      <c r="J3107" s="4"/>
      <c r="K3107" s="4"/>
      <c r="L3107" s="4"/>
      <c r="M3107" s="4"/>
      <c r="N3107" s="4"/>
      <c r="O3107" s="4"/>
      <c r="P3107" s="4"/>
      <c r="Q3107" s="4"/>
      <c r="R3107" s="4"/>
      <c r="S3107" s="4"/>
      <c r="T3107" s="4"/>
      <c r="U3107" s="4"/>
      <c r="V3107" s="4"/>
      <c r="W3107" s="4"/>
      <c r="X3107" s="4"/>
      <c r="Y3107" s="4"/>
      <c r="Z3107" s="4"/>
      <c r="AA3107" s="4"/>
      <c r="AB3107" s="5"/>
    </row>
    <row r="3108" spans="1:28" x14ac:dyDescent="0.35">
      <c r="A3108" s="3"/>
      <c r="B3108" s="4"/>
      <c r="C3108" s="4"/>
      <c r="D3108" s="4"/>
      <c r="E3108" s="4"/>
      <c r="F3108" s="4"/>
      <c r="G3108" s="4"/>
      <c r="H3108" s="4"/>
      <c r="I3108" s="4"/>
      <c r="J3108" s="4"/>
      <c r="K3108" s="4"/>
      <c r="L3108" s="4"/>
      <c r="M3108" s="4"/>
      <c r="N3108" s="4"/>
      <c r="O3108" s="4"/>
      <c r="P3108" s="4"/>
      <c r="Q3108" s="4"/>
      <c r="R3108" s="4"/>
      <c r="S3108" s="4"/>
      <c r="T3108" s="4"/>
      <c r="U3108" s="4"/>
      <c r="V3108" s="4"/>
      <c r="W3108" s="4"/>
      <c r="X3108" s="4"/>
      <c r="Y3108" s="4"/>
      <c r="Z3108" s="4"/>
      <c r="AA3108" s="4"/>
      <c r="AB3108" s="5"/>
    </row>
    <row r="3109" spans="1:28" x14ac:dyDescent="0.35">
      <c r="A3109" s="3"/>
      <c r="B3109" s="4"/>
      <c r="C3109" s="4"/>
      <c r="D3109" s="4"/>
      <c r="E3109" s="4"/>
      <c r="F3109" s="4"/>
      <c r="G3109" s="4"/>
      <c r="H3109" s="4"/>
      <c r="I3109" s="4"/>
      <c r="J3109" s="4"/>
      <c r="K3109" s="4"/>
      <c r="L3109" s="4"/>
      <c r="M3109" s="4"/>
      <c r="N3109" s="4"/>
      <c r="O3109" s="4"/>
      <c r="P3109" s="4"/>
      <c r="Q3109" s="4"/>
      <c r="R3109" s="4"/>
      <c r="S3109" s="4"/>
      <c r="T3109" s="4"/>
      <c r="U3109" s="4"/>
      <c r="V3109" s="4"/>
      <c r="W3109" s="4"/>
      <c r="X3109" s="4"/>
      <c r="Y3109" s="4"/>
      <c r="Z3109" s="4"/>
      <c r="AA3109" s="4"/>
      <c r="AB3109" s="5"/>
    </row>
    <row r="3110" spans="1:28" x14ac:dyDescent="0.35">
      <c r="A3110" s="3"/>
      <c r="B3110" s="4"/>
      <c r="C3110" s="4"/>
      <c r="D3110" s="4"/>
      <c r="E3110" s="4"/>
      <c r="F3110" s="4"/>
      <c r="G3110" s="4"/>
      <c r="H3110" s="4"/>
      <c r="I3110" s="4"/>
      <c r="J3110" s="4"/>
      <c r="K3110" s="4"/>
      <c r="L3110" s="4"/>
      <c r="M3110" s="4"/>
      <c r="N3110" s="4"/>
      <c r="O3110" s="4"/>
      <c r="P3110" s="4"/>
      <c r="Q3110" s="4"/>
      <c r="R3110" s="4"/>
      <c r="S3110" s="4"/>
      <c r="T3110" s="4"/>
      <c r="U3110" s="4"/>
      <c r="V3110" s="4"/>
      <c r="W3110" s="4"/>
      <c r="X3110" s="4"/>
      <c r="Y3110" s="4"/>
      <c r="Z3110" s="4"/>
      <c r="AA3110" s="4"/>
      <c r="AB3110" s="5"/>
    </row>
    <row r="3111" spans="1:28" x14ac:dyDescent="0.35">
      <c r="A3111" s="3"/>
      <c r="B3111" s="4"/>
      <c r="C3111" s="4"/>
      <c r="D3111" s="4"/>
      <c r="E3111" s="4"/>
      <c r="F3111" s="4"/>
      <c r="G3111" s="4"/>
      <c r="H3111" s="4"/>
      <c r="I3111" s="4"/>
      <c r="J3111" s="4"/>
      <c r="K3111" s="4"/>
      <c r="L3111" s="4"/>
      <c r="M3111" s="4"/>
      <c r="N3111" s="4"/>
      <c r="O3111" s="4"/>
      <c r="P3111" s="4"/>
      <c r="Q3111" s="4"/>
      <c r="R3111" s="4"/>
      <c r="S3111" s="4"/>
      <c r="T3111" s="4"/>
      <c r="U3111" s="4"/>
      <c r="V3111" s="4"/>
      <c r="W3111" s="4"/>
      <c r="X3111" s="4"/>
      <c r="Y3111" s="4"/>
      <c r="Z3111" s="4"/>
      <c r="AA3111" s="4"/>
      <c r="AB3111" s="5"/>
    </row>
    <row r="3112" spans="1:28" x14ac:dyDescent="0.35">
      <c r="A3112" s="3"/>
      <c r="B3112" s="4"/>
      <c r="C3112" s="4"/>
      <c r="D3112" s="4"/>
      <c r="E3112" s="4"/>
      <c r="F3112" s="4"/>
      <c r="G3112" s="4"/>
      <c r="H3112" s="4"/>
      <c r="I3112" s="4"/>
      <c r="J3112" s="4"/>
      <c r="K3112" s="4"/>
      <c r="L3112" s="4"/>
      <c r="M3112" s="4"/>
      <c r="N3112" s="4"/>
      <c r="O3112" s="4"/>
      <c r="P3112" s="4"/>
      <c r="Q3112" s="4"/>
      <c r="R3112" s="4"/>
      <c r="S3112" s="4"/>
      <c r="T3112" s="4"/>
      <c r="U3112" s="4"/>
      <c r="V3112" s="4"/>
      <c r="W3112" s="4"/>
      <c r="X3112" s="4"/>
      <c r="Y3112" s="4"/>
      <c r="Z3112" s="4"/>
      <c r="AA3112" s="4"/>
      <c r="AB3112" s="5"/>
    </row>
    <row r="3113" spans="1:28" x14ac:dyDescent="0.35">
      <c r="A3113" s="3"/>
      <c r="B3113" s="4"/>
      <c r="C3113" s="4"/>
      <c r="D3113" s="4"/>
      <c r="E3113" s="4"/>
      <c r="F3113" s="4"/>
      <c r="G3113" s="4"/>
      <c r="H3113" s="4"/>
      <c r="I3113" s="4"/>
      <c r="J3113" s="4"/>
      <c r="K3113" s="4"/>
      <c r="L3113" s="4"/>
      <c r="M3113" s="4"/>
      <c r="N3113" s="4"/>
      <c r="O3113" s="4"/>
      <c r="P3113" s="4"/>
      <c r="Q3113" s="4"/>
      <c r="R3113" s="4"/>
      <c r="S3113" s="4"/>
      <c r="T3113" s="4"/>
      <c r="U3113" s="4"/>
      <c r="V3113" s="4"/>
      <c r="W3113" s="4"/>
      <c r="X3113" s="4"/>
      <c r="Y3113" s="4"/>
      <c r="Z3113" s="4"/>
      <c r="AA3113" s="4"/>
      <c r="AB3113" s="5"/>
    </row>
    <row r="3114" spans="1:28" x14ac:dyDescent="0.35">
      <c r="A3114" s="3"/>
      <c r="B3114" s="4"/>
      <c r="C3114" s="4"/>
      <c r="D3114" s="4"/>
      <c r="E3114" s="4"/>
      <c r="F3114" s="4"/>
      <c r="G3114" s="4"/>
      <c r="H3114" s="4"/>
      <c r="I3114" s="4"/>
      <c r="J3114" s="4"/>
      <c r="K3114" s="4"/>
      <c r="L3114" s="4"/>
      <c r="M3114" s="4"/>
      <c r="N3114" s="4"/>
      <c r="O3114" s="4"/>
      <c r="P3114" s="4"/>
      <c r="Q3114" s="4"/>
      <c r="R3114" s="4"/>
      <c r="S3114" s="4"/>
      <c r="T3114" s="4"/>
      <c r="U3114" s="4"/>
      <c r="V3114" s="4"/>
      <c r="W3114" s="4"/>
      <c r="X3114" s="4"/>
      <c r="Y3114" s="4"/>
      <c r="Z3114" s="4"/>
      <c r="AA3114" s="4"/>
      <c r="AB3114" s="5"/>
    </row>
    <row r="3115" spans="1:28" x14ac:dyDescent="0.35">
      <c r="A3115" s="3"/>
      <c r="B3115" s="4"/>
      <c r="C3115" s="4"/>
      <c r="D3115" s="4"/>
      <c r="E3115" s="4"/>
      <c r="F3115" s="4"/>
      <c r="G3115" s="4"/>
      <c r="H3115" s="4"/>
      <c r="I3115" s="4"/>
      <c r="J3115" s="4"/>
      <c r="K3115" s="4"/>
      <c r="L3115" s="4"/>
      <c r="M3115" s="4"/>
      <c r="N3115" s="4"/>
      <c r="O3115" s="4"/>
      <c r="P3115" s="4"/>
      <c r="Q3115" s="4"/>
      <c r="R3115" s="4"/>
      <c r="S3115" s="4"/>
      <c r="T3115" s="4"/>
      <c r="U3115" s="4"/>
      <c r="V3115" s="4"/>
      <c r="W3115" s="4"/>
      <c r="X3115" s="4"/>
      <c r="Y3115" s="4"/>
      <c r="Z3115" s="4"/>
      <c r="AA3115" s="4"/>
      <c r="AB3115" s="5"/>
    </row>
    <row r="3116" spans="1:28" x14ac:dyDescent="0.35">
      <c r="A3116" s="3"/>
      <c r="B3116" s="4"/>
      <c r="C3116" s="4"/>
      <c r="D3116" s="4"/>
      <c r="E3116" s="4"/>
      <c r="F3116" s="4"/>
      <c r="G3116" s="4"/>
      <c r="H3116" s="4"/>
      <c r="I3116" s="4"/>
      <c r="J3116" s="4"/>
      <c r="K3116" s="4"/>
      <c r="L3116" s="4"/>
      <c r="M3116" s="4"/>
      <c r="N3116" s="4"/>
      <c r="O3116" s="4"/>
      <c r="P3116" s="4"/>
      <c r="Q3116" s="4"/>
      <c r="R3116" s="4"/>
      <c r="S3116" s="4"/>
      <c r="T3116" s="4"/>
      <c r="U3116" s="4"/>
      <c r="V3116" s="4"/>
      <c r="W3116" s="4"/>
      <c r="X3116" s="4"/>
      <c r="Y3116" s="4"/>
      <c r="Z3116" s="4"/>
      <c r="AA3116" s="4"/>
      <c r="AB3116" s="5"/>
    </row>
    <row r="3117" spans="1:28" x14ac:dyDescent="0.35">
      <c r="A3117" s="3"/>
      <c r="B3117" s="4"/>
      <c r="C3117" s="4"/>
      <c r="D3117" s="4"/>
      <c r="E3117" s="4"/>
      <c r="F3117" s="4"/>
      <c r="G3117" s="4"/>
      <c r="H3117" s="4"/>
      <c r="I3117" s="4"/>
      <c r="J3117" s="4"/>
      <c r="K3117" s="4"/>
      <c r="L3117" s="4"/>
      <c r="M3117" s="4"/>
      <c r="N3117" s="4"/>
      <c r="O3117" s="4"/>
      <c r="P3117" s="4"/>
      <c r="Q3117" s="4"/>
      <c r="R3117" s="4"/>
      <c r="S3117" s="4"/>
      <c r="T3117" s="4"/>
      <c r="U3117" s="4"/>
      <c r="V3117" s="4"/>
      <c r="W3117" s="4"/>
      <c r="X3117" s="4"/>
      <c r="Y3117" s="4"/>
      <c r="Z3117" s="4"/>
      <c r="AA3117" s="4"/>
      <c r="AB3117" s="5"/>
    </row>
    <row r="3118" spans="1:28" x14ac:dyDescent="0.35">
      <c r="A3118" s="3"/>
      <c r="B3118" s="4"/>
      <c r="C3118" s="4"/>
      <c r="D3118" s="4"/>
      <c r="E3118" s="4"/>
      <c r="F3118" s="4"/>
      <c r="G3118" s="4"/>
      <c r="H3118" s="4"/>
      <c r="I3118" s="4"/>
      <c r="J3118" s="4"/>
      <c r="K3118" s="4"/>
      <c r="L3118" s="4"/>
      <c r="M3118" s="4"/>
      <c r="N3118" s="4"/>
      <c r="O3118" s="4"/>
      <c r="P3118" s="4"/>
      <c r="Q3118" s="4"/>
      <c r="R3118" s="4"/>
      <c r="S3118" s="4"/>
      <c r="T3118" s="4"/>
      <c r="U3118" s="4"/>
      <c r="V3118" s="4"/>
      <c r="W3118" s="4"/>
      <c r="X3118" s="4"/>
      <c r="Y3118" s="4"/>
      <c r="Z3118" s="4"/>
      <c r="AA3118" s="4"/>
      <c r="AB3118" s="5"/>
    </row>
    <row r="3119" spans="1:28" x14ac:dyDescent="0.35">
      <c r="A3119" s="3"/>
      <c r="B3119" s="4"/>
      <c r="C3119" s="4"/>
      <c r="D3119" s="4"/>
      <c r="E3119" s="4"/>
      <c r="F3119" s="4"/>
      <c r="G3119" s="4"/>
      <c r="H3119" s="4"/>
      <c r="I3119" s="4"/>
      <c r="J3119" s="4"/>
      <c r="K3119" s="4"/>
      <c r="L3119" s="4"/>
      <c r="M3119" s="4"/>
      <c r="N3119" s="4"/>
      <c r="O3119" s="4"/>
      <c r="P3119" s="4"/>
      <c r="Q3119" s="4"/>
      <c r="R3119" s="4"/>
      <c r="S3119" s="4"/>
      <c r="T3119" s="4"/>
      <c r="U3119" s="4"/>
      <c r="V3119" s="4"/>
      <c r="W3119" s="4"/>
      <c r="X3119" s="4"/>
      <c r="Y3119" s="4"/>
      <c r="Z3119" s="4"/>
      <c r="AA3119" s="4"/>
      <c r="AB3119" s="5"/>
    </row>
    <row r="3120" spans="1:28" x14ac:dyDescent="0.35">
      <c r="A3120" s="3"/>
      <c r="B3120" s="4"/>
      <c r="C3120" s="4"/>
      <c r="D3120" s="4"/>
      <c r="E3120" s="4"/>
      <c r="F3120" s="4"/>
      <c r="G3120" s="4"/>
      <c r="H3120" s="4"/>
      <c r="I3120" s="4"/>
      <c r="J3120" s="4"/>
      <c r="K3120" s="4"/>
      <c r="L3120" s="4"/>
      <c r="M3120" s="4"/>
      <c r="N3120" s="4"/>
      <c r="O3120" s="4"/>
      <c r="P3120" s="4"/>
      <c r="Q3120" s="4"/>
      <c r="R3120" s="4"/>
      <c r="S3120" s="4"/>
      <c r="T3120" s="4"/>
      <c r="U3120" s="4"/>
      <c r="V3120" s="4"/>
      <c r="W3120" s="4"/>
      <c r="X3120" s="4"/>
      <c r="Y3120" s="4"/>
      <c r="Z3120" s="4"/>
      <c r="AA3120" s="4"/>
      <c r="AB3120" s="5"/>
    </row>
    <row r="3121" spans="1:28" x14ac:dyDescent="0.35">
      <c r="A3121" s="3"/>
      <c r="B3121" s="4"/>
      <c r="C3121" s="4"/>
      <c r="D3121" s="4"/>
      <c r="E3121" s="4"/>
      <c r="F3121" s="4"/>
      <c r="G3121" s="4"/>
      <c r="H3121" s="4"/>
      <c r="I3121" s="4"/>
      <c r="J3121" s="4"/>
      <c r="K3121" s="4"/>
      <c r="L3121" s="4"/>
      <c r="M3121" s="4"/>
      <c r="N3121" s="4"/>
      <c r="O3121" s="4"/>
      <c r="P3121" s="4"/>
      <c r="Q3121" s="4"/>
      <c r="R3121" s="4"/>
      <c r="S3121" s="4"/>
      <c r="T3121" s="4"/>
      <c r="U3121" s="4"/>
      <c r="V3121" s="4"/>
      <c r="W3121" s="4"/>
      <c r="X3121" s="4"/>
      <c r="Y3121" s="4"/>
      <c r="Z3121" s="4"/>
      <c r="AA3121" s="4"/>
      <c r="AB3121" s="5"/>
    </row>
    <row r="3122" spans="1:28" x14ac:dyDescent="0.35">
      <c r="A3122" s="3"/>
      <c r="B3122" s="4"/>
      <c r="C3122" s="4"/>
      <c r="D3122" s="4"/>
      <c r="E3122" s="4"/>
      <c r="F3122" s="4"/>
      <c r="G3122" s="4"/>
      <c r="H3122" s="4"/>
      <c r="I3122" s="4"/>
      <c r="J3122" s="4"/>
      <c r="K3122" s="4"/>
      <c r="L3122" s="4"/>
      <c r="M3122" s="4"/>
      <c r="N3122" s="4"/>
      <c r="O3122" s="4"/>
      <c r="P3122" s="4"/>
      <c r="Q3122" s="4"/>
      <c r="R3122" s="4"/>
      <c r="S3122" s="4"/>
      <c r="T3122" s="4"/>
      <c r="U3122" s="4"/>
      <c r="V3122" s="4"/>
      <c r="W3122" s="4"/>
      <c r="X3122" s="4"/>
      <c r="Y3122" s="4"/>
      <c r="Z3122" s="4"/>
      <c r="AA3122" s="4"/>
      <c r="AB3122" s="5"/>
    </row>
    <row r="3123" spans="1:28" x14ac:dyDescent="0.35">
      <c r="A3123" s="3"/>
      <c r="B3123" s="4"/>
      <c r="C3123" s="4"/>
      <c r="D3123" s="4"/>
      <c r="E3123" s="4"/>
      <c r="F3123" s="4"/>
      <c r="G3123" s="4"/>
      <c r="H3123" s="4"/>
      <c r="I3123" s="4"/>
      <c r="J3123" s="4"/>
      <c r="K3123" s="4"/>
      <c r="L3123" s="4"/>
      <c r="M3123" s="4"/>
      <c r="N3123" s="4"/>
      <c r="O3123" s="4"/>
      <c r="P3123" s="4"/>
      <c r="Q3123" s="4"/>
      <c r="R3123" s="4"/>
      <c r="S3123" s="4"/>
      <c r="T3123" s="4"/>
      <c r="U3123" s="4"/>
      <c r="V3123" s="4"/>
      <c r="W3123" s="4"/>
      <c r="X3123" s="4"/>
      <c r="Y3123" s="4"/>
      <c r="Z3123" s="4"/>
      <c r="AA3123" s="4"/>
      <c r="AB3123" s="5"/>
    </row>
    <row r="3124" spans="1:28" x14ac:dyDescent="0.35">
      <c r="A3124" s="3"/>
      <c r="B3124" s="4"/>
      <c r="C3124" s="4"/>
      <c r="D3124" s="4"/>
      <c r="E3124" s="4"/>
      <c r="F3124" s="4"/>
      <c r="G3124" s="4"/>
      <c r="H3124" s="4"/>
      <c r="I3124" s="4"/>
      <c r="J3124" s="4"/>
      <c r="K3124" s="4"/>
      <c r="L3124" s="4"/>
      <c r="M3124" s="4"/>
      <c r="N3124" s="4"/>
      <c r="O3124" s="4"/>
      <c r="P3124" s="4"/>
      <c r="Q3124" s="4"/>
      <c r="R3124" s="4"/>
      <c r="S3124" s="4"/>
      <c r="T3124" s="4"/>
      <c r="U3124" s="4"/>
      <c r="V3124" s="4"/>
      <c r="W3124" s="4"/>
      <c r="X3124" s="4"/>
      <c r="Y3124" s="4"/>
      <c r="Z3124" s="4"/>
      <c r="AA3124" s="4"/>
      <c r="AB3124" s="5"/>
    </row>
    <row r="3125" spans="1:28" x14ac:dyDescent="0.35">
      <c r="A3125" s="3"/>
      <c r="B3125" s="4"/>
      <c r="C3125" s="4"/>
      <c r="D3125" s="4"/>
      <c r="E3125" s="4"/>
      <c r="F3125" s="4"/>
      <c r="G3125" s="4"/>
      <c r="H3125" s="4"/>
      <c r="I3125" s="4"/>
      <c r="J3125" s="4"/>
      <c r="K3125" s="4"/>
      <c r="L3125" s="4"/>
      <c r="M3125" s="4"/>
      <c r="N3125" s="4"/>
      <c r="O3125" s="4"/>
      <c r="P3125" s="4"/>
      <c r="Q3125" s="4"/>
      <c r="R3125" s="4"/>
      <c r="S3125" s="4"/>
      <c r="T3125" s="4"/>
      <c r="U3125" s="4"/>
      <c r="V3125" s="4"/>
      <c r="W3125" s="4"/>
      <c r="X3125" s="4"/>
      <c r="Y3125" s="4"/>
      <c r="Z3125" s="4"/>
      <c r="AA3125" s="4"/>
      <c r="AB3125" s="5"/>
    </row>
    <row r="3126" spans="1:28" x14ac:dyDescent="0.35">
      <c r="A3126" s="3"/>
      <c r="B3126" s="4"/>
      <c r="C3126" s="4"/>
      <c r="D3126" s="4"/>
      <c r="E3126" s="4"/>
      <c r="F3126" s="4"/>
      <c r="G3126" s="4"/>
      <c r="H3126" s="4"/>
      <c r="I3126" s="4"/>
      <c r="J3126" s="4"/>
      <c r="K3126" s="4"/>
      <c r="L3126" s="4"/>
      <c r="M3126" s="4"/>
      <c r="N3126" s="4"/>
      <c r="O3126" s="4"/>
      <c r="P3126" s="4"/>
      <c r="Q3126" s="4"/>
      <c r="R3126" s="4"/>
      <c r="S3126" s="4"/>
      <c r="T3126" s="4"/>
      <c r="U3126" s="4"/>
      <c r="V3126" s="4"/>
      <c r="W3126" s="4"/>
      <c r="X3126" s="4"/>
      <c r="Y3126" s="4"/>
      <c r="Z3126" s="4"/>
      <c r="AA3126" s="4"/>
      <c r="AB3126" s="5"/>
    </row>
    <row r="3127" spans="1:28" x14ac:dyDescent="0.35">
      <c r="A3127" s="3"/>
      <c r="B3127" s="4"/>
      <c r="C3127" s="4"/>
      <c r="D3127" s="4"/>
      <c r="E3127" s="4"/>
      <c r="F3127" s="4"/>
      <c r="G3127" s="4"/>
      <c r="H3127" s="4"/>
      <c r="I3127" s="4"/>
      <c r="J3127" s="4"/>
      <c r="K3127" s="4"/>
      <c r="L3127" s="4"/>
      <c r="M3127" s="4"/>
      <c r="N3127" s="4"/>
      <c r="O3127" s="4"/>
      <c r="P3127" s="4"/>
      <c r="Q3127" s="4"/>
      <c r="R3127" s="4"/>
      <c r="S3127" s="4"/>
      <c r="T3127" s="4"/>
      <c r="U3127" s="4"/>
      <c r="V3127" s="4"/>
      <c r="W3127" s="4"/>
      <c r="X3127" s="4"/>
      <c r="Y3127" s="4"/>
      <c r="Z3127" s="4"/>
      <c r="AA3127" s="4"/>
      <c r="AB3127" s="5"/>
    </row>
    <row r="3128" spans="1:28" x14ac:dyDescent="0.35">
      <c r="A3128" s="3"/>
      <c r="B3128" s="4"/>
      <c r="C3128" s="4"/>
      <c r="D3128" s="4"/>
      <c r="E3128" s="4"/>
      <c r="F3128" s="4"/>
      <c r="G3128" s="4"/>
      <c r="H3128" s="4"/>
      <c r="I3128" s="4"/>
      <c r="J3128" s="4"/>
      <c r="K3128" s="4"/>
      <c r="L3128" s="4"/>
      <c r="M3128" s="4"/>
      <c r="N3128" s="4"/>
      <c r="O3128" s="4"/>
      <c r="P3128" s="4"/>
      <c r="Q3128" s="4"/>
      <c r="R3128" s="4"/>
      <c r="S3128" s="4"/>
      <c r="T3128" s="4"/>
      <c r="U3128" s="4"/>
      <c r="V3128" s="4"/>
      <c r="W3128" s="4"/>
      <c r="X3128" s="4"/>
      <c r="Y3128" s="4"/>
      <c r="Z3128" s="4"/>
      <c r="AA3128" s="4"/>
      <c r="AB3128" s="5"/>
    </row>
    <row r="3129" spans="1:28" x14ac:dyDescent="0.35">
      <c r="A3129" s="3"/>
      <c r="B3129" s="4"/>
      <c r="C3129" s="4"/>
      <c r="D3129" s="4"/>
      <c r="E3129" s="4"/>
      <c r="F3129" s="4"/>
      <c r="G3129" s="4"/>
      <c r="H3129" s="4"/>
      <c r="I3129" s="4"/>
      <c r="J3129" s="4"/>
      <c r="K3129" s="4"/>
      <c r="L3129" s="4"/>
      <c r="M3129" s="4"/>
      <c r="N3129" s="4"/>
      <c r="O3129" s="4"/>
      <c r="P3129" s="4"/>
      <c r="Q3129" s="4"/>
      <c r="R3129" s="4"/>
      <c r="S3129" s="4"/>
      <c r="T3129" s="4"/>
      <c r="U3129" s="4"/>
      <c r="V3129" s="4"/>
      <c r="W3129" s="4"/>
      <c r="X3129" s="4"/>
      <c r="Y3129" s="4"/>
      <c r="Z3129" s="4"/>
      <c r="AA3129" s="4"/>
      <c r="AB3129" s="5"/>
    </row>
    <row r="3130" spans="1:28" x14ac:dyDescent="0.35">
      <c r="A3130" s="3"/>
      <c r="B3130" s="4"/>
      <c r="C3130" s="4"/>
      <c r="D3130" s="4"/>
      <c r="E3130" s="4"/>
      <c r="F3130" s="4"/>
      <c r="G3130" s="4"/>
      <c r="H3130" s="4"/>
      <c r="I3130" s="4"/>
      <c r="J3130" s="4"/>
      <c r="K3130" s="4"/>
      <c r="L3130" s="4"/>
      <c r="M3130" s="4"/>
      <c r="N3130" s="4"/>
      <c r="O3130" s="4"/>
      <c r="P3130" s="4"/>
      <c r="Q3130" s="4"/>
      <c r="R3130" s="4"/>
      <c r="S3130" s="4"/>
      <c r="T3130" s="4"/>
      <c r="U3130" s="4"/>
      <c r="V3130" s="4"/>
      <c r="W3130" s="4"/>
      <c r="X3130" s="4"/>
      <c r="Y3130" s="4"/>
      <c r="Z3130" s="4"/>
      <c r="AA3130" s="4"/>
      <c r="AB3130" s="5"/>
    </row>
    <row r="3131" spans="1:28" x14ac:dyDescent="0.35">
      <c r="A3131" s="3"/>
      <c r="B3131" s="4"/>
      <c r="C3131" s="4"/>
      <c r="D3131" s="4"/>
      <c r="E3131" s="4"/>
      <c r="F3131" s="4"/>
      <c r="G3131" s="4"/>
      <c r="H3131" s="4"/>
      <c r="I3131" s="4"/>
      <c r="J3131" s="4"/>
      <c r="K3131" s="4"/>
      <c r="L3131" s="4"/>
      <c r="M3131" s="4"/>
      <c r="N3131" s="4"/>
      <c r="O3131" s="4"/>
      <c r="P3131" s="4"/>
      <c r="Q3131" s="4"/>
      <c r="R3131" s="4"/>
      <c r="S3131" s="4"/>
      <c r="T3131" s="4"/>
      <c r="U3131" s="4"/>
      <c r="V3131" s="4"/>
      <c r="W3131" s="4"/>
      <c r="X3131" s="4"/>
      <c r="Y3131" s="4"/>
      <c r="Z3131" s="4"/>
      <c r="AA3131" s="4"/>
      <c r="AB3131" s="5"/>
    </row>
    <row r="3132" spans="1:28" x14ac:dyDescent="0.35">
      <c r="A3132" s="3"/>
      <c r="B3132" s="4"/>
      <c r="C3132" s="4"/>
      <c r="D3132" s="4"/>
      <c r="E3132" s="4"/>
      <c r="F3132" s="4"/>
      <c r="G3132" s="4"/>
      <c r="H3132" s="4"/>
      <c r="I3132" s="4"/>
      <c r="J3132" s="4"/>
      <c r="K3132" s="4"/>
      <c r="L3132" s="4"/>
      <c r="M3132" s="4"/>
      <c r="N3132" s="4"/>
      <c r="O3132" s="4"/>
      <c r="P3132" s="4"/>
      <c r="Q3132" s="4"/>
      <c r="R3132" s="4"/>
      <c r="S3132" s="4"/>
      <c r="T3132" s="4"/>
      <c r="U3132" s="4"/>
      <c r="V3132" s="4"/>
      <c r="W3132" s="4"/>
      <c r="X3132" s="4"/>
      <c r="Y3132" s="4"/>
      <c r="Z3132" s="4"/>
      <c r="AA3132" s="4"/>
      <c r="AB3132" s="5"/>
    </row>
    <row r="3133" spans="1:28" x14ac:dyDescent="0.35">
      <c r="A3133" s="3"/>
      <c r="B3133" s="4"/>
      <c r="C3133" s="4"/>
      <c r="D3133" s="4"/>
      <c r="E3133" s="4"/>
      <c r="F3133" s="4"/>
      <c r="G3133" s="4"/>
      <c r="H3133" s="4"/>
      <c r="I3133" s="4"/>
      <c r="J3133" s="4"/>
      <c r="K3133" s="4"/>
      <c r="L3133" s="4"/>
      <c r="M3133" s="4"/>
      <c r="N3133" s="4"/>
      <c r="O3133" s="4"/>
      <c r="P3133" s="4"/>
      <c r="Q3133" s="4"/>
      <c r="R3133" s="4"/>
      <c r="S3133" s="4"/>
      <c r="T3133" s="4"/>
      <c r="U3133" s="4"/>
      <c r="V3133" s="4"/>
      <c r="W3133" s="4"/>
      <c r="X3133" s="4"/>
      <c r="Y3133" s="4"/>
      <c r="Z3133" s="4"/>
      <c r="AA3133" s="4"/>
      <c r="AB3133" s="5"/>
    </row>
    <row r="3134" spans="1:28" x14ac:dyDescent="0.35">
      <c r="A3134" s="3"/>
      <c r="B3134" s="4"/>
      <c r="C3134" s="4"/>
      <c r="D3134" s="4"/>
      <c r="E3134" s="4"/>
      <c r="F3134" s="4"/>
      <c r="G3134" s="4"/>
      <c r="H3134" s="4"/>
      <c r="I3134" s="4"/>
      <c r="J3134" s="4"/>
      <c r="K3134" s="4"/>
      <c r="L3134" s="4"/>
      <c r="M3134" s="4"/>
      <c r="N3134" s="4"/>
      <c r="O3134" s="4"/>
      <c r="P3134" s="4"/>
      <c r="Q3134" s="4"/>
      <c r="R3134" s="4"/>
      <c r="S3134" s="4"/>
      <c r="T3134" s="4"/>
      <c r="U3134" s="4"/>
      <c r="V3134" s="4"/>
      <c r="W3134" s="4"/>
      <c r="X3134" s="4"/>
      <c r="Y3134" s="4"/>
      <c r="Z3134" s="4"/>
      <c r="AA3134" s="4"/>
      <c r="AB3134" s="5"/>
    </row>
    <row r="3135" spans="1:28" x14ac:dyDescent="0.35">
      <c r="A3135" s="3"/>
      <c r="B3135" s="4"/>
      <c r="C3135" s="4"/>
      <c r="D3135" s="4"/>
      <c r="E3135" s="4"/>
      <c r="F3135" s="4"/>
      <c r="G3135" s="4"/>
      <c r="H3135" s="4"/>
      <c r="I3135" s="4"/>
      <c r="J3135" s="4"/>
      <c r="K3135" s="4"/>
      <c r="L3135" s="4"/>
      <c r="M3135" s="4"/>
      <c r="N3135" s="4"/>
      <c r="O3135" s="4"/>
      <c r="P3135" s="4"/>
      <c r="Q3135" s="4"/>
      <c r="R3135" s="4"/>
      <c r="S3135" s="4"/>
      <c r="T3135" s="4"/>
      <c r="U3135" s="4"/>
      <c r="V3135" s="4"/>
      <c r="W3135" s="4"/>
      <c r="X3135" s="4"/>
      <c r="Y3135" s="4"/>
      <c r="Z3135" s="4"/>
      <c r="AA3135" s="4"/>
      <c r="AB3135" s="5"/>
    </row>
    <row r="3136" spans="1:28" x14ac:dyDescent="0.35">
      <c r="A3136" s="3"/>
      <c r="B3136" s="4"/>
      <c r="C3136" s="4"/>
      <c r="D3136" s="4"/>
      <c r="E3136" s="4"/>
      <c r="F3136" s="4"/>
      <c r="G3136" s="4"/>
      <c r="H3136" s="4"/>
      <c r="I3136" s="4"/>
      <c r="J3136" s="4"/>
      <c r="K3136" s="4"/>
      <c r="L3136" s="4"/>
      <c r="M3136" s="4"/>
      <c r="N3136" s="4"/>
      <c r="O3136" s="4"/>
      <c r="P3136" s="4"/>
      <c r="Q3136" s="4"/>
      <c r="R3136" s="4"/>
      <c r="S3136" s="4"/>
      <c r="T3136" s="4"/>
      <c r="U3136" s="4"/>
      <c r="V3136" s="4"/>
      <c r="W3136" s="4"/>
      <c r="X3136" s="4"/>
      <c r="Y3136" s="4"/>
      <c r="Z3136" s="4"/>
      <c r="AA3136" s="4"/>
      <c r="AB3136" s="5"/>
    </row>
    <row r="3137" spans="1:28" x14ac:dyDescent="0.35">
      <c r="A3137" s="3"/>
      <c r="B3137" s="4"/>
      <c r="C3137" s="4"/>
      <c r="D3137" s="4"/>
      <c r="E3137" s="4"/>
      <c r="F3137" s="4"/>
      <c r="G3137" s="4"/>
      <c r="H3137" s="4"/>
      <c r="I3137" s="4"/>
      <c r="J3137" s="4"/>
      <c r="K3137" s="4"/>
      <c r="L3137" s="4"/>
      <c r="M3137" s="4"/>
      <c r="N3137" s="4"/>
      <c r="O3137" s="4"/>
      <c r="P3137" s="4"/>
      <c r="Q3137" s="4"/>
      <c r="R3137" s="4"/>
      <c r="S3137" s="4"/>
      <c r="T3137" s="4"/>
      <c r="U3137" s="4"/>
      <c r="V3137" s="4"/>
      <c r="W3137" s="4"/>
      <c r="X3137" s="4"/>
      <c r="Y3137" s="4"/>
      <c r="Z3137" s="4"/>
      <c r="AA3137" s="4"/>
      <c r="AB3137" s="5"/>
    </row>
    <row r="3138" spans="1:28" x14ac:dyDescent="0.35">
      <c r="A3138" s="3"/>
      <c r="B3138" s="4"/>
      <c r="C3138" s="4"/>
      <c r="D3138" s="4"/>
      <c r="E3138" s="4"/>
      <c r="F3138" s="4"/>
      <c r="G3138" s="4"/>
      <c r="H3138" s="4"/>
      <c r="I3138" s="4"/>
      <c r="J3138" s="4"/>
      <c r="K3138" s="4"/>
      <c r="L3138" s="4"/>
      <c r="M3138" s="4"/>
      <c r="N3138" s="4"/>
      <c r="O3138" s="4"/>
      <c r="P3138" s="4"/>
      <c r="Q3138" s="4"/>
      <c r="R3138" s="4"/>
      <c r="S3138" s="4"/>
      <c r="T3138" s="4"/>
      <c r="U3138" s="4"/>
      <c r="V3138" s="4"/>
      <c r="W3138" s="4"/>
      <c r="X3138" s="4"/>
      <c r="Y3138" s="4"/>
      <c r="Z3138" s="4"/>
      <c r="AA3138" s="4"/>
      <c r="AB3138" s="5"/>
    </row>
    <row r="3139" spans="1:28" x14ac:dyDescent="0.35">
      <c r="A3139" s="3"/>
      <c r="B3139" s="4"/>
      <c r="C3139" s="4"/>
      <c r="D3139" s="4"/>
      <c r="E3139" s="4"/>
      <c r="F3139" s="4"/>
      <c r="G3139" s="4"/>
      <c r="H3139" s="4"/>
      <c r="I3139" s="4"/>
      <c r="J3139" s="4"/>
      <c r="K3139" s="4"/>
      <c r="L3139" s="4"/>
      <c r="M3139" s="4"/>
      <c r="N3139" s="4"/>
      <c r="O3139" s="4"/>
      <c r="P3139" s="4"/>
      <c r="Q3139" s="4"/>
      <c r="R3139" s="4"/>
      <c r="S3139" s="4"/>
      <c r="T3139" s="4"/>
      <c r="U3139" s="4"/>
      <c r="V3139" s="4"/>
      <c r="W3139" s="4"/>
      <c r="X3139" s="4"/>
      <c r="Y3139" s="4"/>
      <c r="Z3139" s="4"/>
      <c r="AA3139" s="4"/>
      <c r="AB3139" s="5"/>
    </row>
    <row r="3140" spans="1:28" x14ac:dyDescent="0.35">
      <c r="A3140" s="3"/>
      <c r="B3140" s="4"/>
      <c r="C3140" s="4"/>
      <c r="D3140" s="4"/>
      <c r="E3140" s="4"/>
      <c r="F3140" s="4"/>
      <c r="G3140" s="4"/>
      <c r="H3140" s="4"/>
      <c r="I3140" s="4"/>
      <c r="J3140" s="4"/>
      <c r="K3140" s="4"/>
      <c r="L3140" s="4"/>
      <c r="M3140" s="4"/>
      <c r="N3140" s="4"/>
      <c r="O3140" s="4"/>
      <c r="P3140" s="4"/>
      <c r="Q3140" s="4"/>
      <c r="R3140" s="4"/>
      <c r="S3140" s="4"/>
      <c r="T3140" s="4"/>
      <c r="U3140" s="4"/>
      <c r="V3140" s="4"/>
      <c r="W3140" s="4"/>
      <c r="X3140" s="4"/>
      <c r="Y3140" s="4"/>
      <c r="Z3140" s="4"/>
      <c r="AA3140" s="4"/>
      <c r="AB3140" s="5"/>
    </row>
    <row r="3141" spans="1:28" x14ac:dyDescent="0.35">
      <c r="A3141" s="3"/>
      <c r="B3141" s="4"/>
      <c r="C3141" s="4"/>
      <c r="D3141" s="4"/>
      <c r="E3141" s="4"/>
      <c r="F3141" s="4"/>
      <c r="G3141" s="4"/>
      <c r="H3141" s="4"/>
      <c r="I3141" s="4"/>
      <c r="J3141" s="4"/>
      <c r="K3141" s="4"/>
      <c r="L3141" s="4"/>
      <c r="M3141" s="4"/>
      <c r="N3141" s="4"/>
      <c r="O3141" s="4"/>
      <c r="P3141" s="4"/>
      <c r="Q3141" s="4"/>
      <c r="R3141" s="4"/>
      <c r="S3141" s="4"/>
      <c r="T3141" s="4"/>
      <c r="U3141" s="4"/>
      <c r="V3141" s="4"/>
      <c r="W3141" s="4"/>
      <c r="X3141" s="4"/>
      <c r="Y3141" s="4"/>
      <c r="Z3141" s="4"/>
      <c r="AA3141" s="4"/>
      <c r="AB3141" s="5"/>
    </row>
    <row r="3142" spans="1:28" x14ac:dyDescent="0.35">
      <c r="A3142" s="3"/>
      <c r="B3142" s="4"/>
      <c r="C3142" s="4"/>
      <c r="D3142" s="4"/>
      <c r="E3142" s="4"/>
      <c r="F3142" s="4"/>
      <c r="G3142" s="4"/>
      <c r="H3142" s="4"/>
      <c r="I3142" s="4"/>
      <c r="J3142" s="4"/>
      <c r="K3142" s="4"/>
      <c r="L3142" s="4"/>
      <c r="M3142" s="4"/>
      <c r="N3142" s="4"/>
      <c r="O3142" s="4"/>
      <c r="P3142" s="4"/>
      <c r="Q3142" s="4"/>
      <c r="R3142" s="4"/>
      <c r="S3142" s="4"/>
      <c r="T3142" s="4"/>
      <c r="U3142" s="4"/>
      <c r="V3142" s="4"/>
      <c r="W3142" s="4"/>
      <c r="X3142" s="4"/>
      <c r="Y3142" s="4"/>
      <c r="Z3142" s="4"/>
      <c r="AA3142" s="4"/>
      <c r="AB3142" s="5"/>
    </row>
    <row r="3143" spans="1:28" x14ac:dyDescent="0.35">
      <c r="A3143" s="3"/>
      <c r="B3143" s="4"/>
      <c r="C3143" s="4"/>
      <c r="D3143" s="4"/>
      <c r="E3143" s="4"/>
      <c r="F3143" s="4"/>
      <c r="G3143" s="4"/>
      <c r="H3143" s="4"/>
      <c r="I3143" s="4"/>
      <c r="J3143" s="4"/>
      <c r="K3143" s="4"/>
      <c r="L3143" s="4"/>
      <c r="M3143" s="4"/>
      <c r="N3143" s="4"/>
      <c r="O3143" s="4"/>
      <c r="P3143" s="4"/>
      <c r="Q3143" s="4"/>
      <c r="R3143" s="4"/>
      <c r="S3143" s="4"/>
      <c r="T3143" s="4"/>
      <c r="U3143" s="4"/>
      <c r="V3143" s="4"/>
      <c r="W3143" s="4"/>
      <c r="X3143" s="4"/>
      <c r="Y3143" s="4"/>
      <c r="Z3143" s="4"/>
      <c r="AA3143" s="4"/>
      <c r="AB3143" s="5"/>
    </row>
    <row r="3144" spans="1:28" x14ac:dyDescent="0.35">
      <c r="A3144" s="3"/>
      <c r="B3144" s="4"/>
      <c r="C3144" s="4"/>
      <c r="D3144" s="4"/>
      <c r="E3144" s="4"/>
      <c r="F3144" s="4"/>
      <c r="G3144" s="4"/>
      <c r="H3144" s="4"/>
      <c r="I3144" s="4"/>
      <c r="J3144" s="4"/>
      <c r="K3144" s="4"/>
      <c r="L3144" s="4"/>
      <c r="M3144" s="4"/>
      <c r="N3144" s="4"/>
      <c r="O3144" s="4"/>
      <c r="P3144" s="4"/>
      <c r="Q3144" s="4"/>
      <c r="R3144" s="4"/>
      <c r="S3144" s="4"/>
      <c r="T3144" s="4"/>
      <c r="U3144" s="4"/>
      <c r="V3144" s="4"/>
      <c r="W3144" s="4"/>
      <c r="X3144" s="4"/>
      <c r="Y3144" s="4"/>
      <c r="Z3144" s="4"/>
      <c r="AA3144" s="4"/>
      <c r="AB3144" s="5"/>
    </row>
    <row r="3145" spans="1:28" x14ac:dyDescent="0.35">
      <c r="A3145" s="3"/>
      <c r="B3145" s="4"/>
      <c r="C3145" s="4"/>
      <c r="D3145" s="4"/>
      <c r="E3145" s="4"/>
      <c r="F3145" s="4"/>
      <c r="G3145" s="4"/>
      <c r="H3145" s="4"/>
      <c r="I3145" s="4"/>
      <c r="J3145" s="4"/>
      <c r="K3145" s="4"/>
      <c r="L3145" s="4"/>
      <c r="M3145" s="4"/>
      <c r="N3145" s="4"/>
      <c r="O3145" s="4"/>
      <c r="P3145" s="4"/>
      <c r="Q3145" s="4"/>
      <c r="R3145" s="4"/>
      <c r="S3145" s="4"/>
      <c r="T3145" s="4"/>
      <c r="U3145" s="4"/>
      <c r="V3145" s="4"/>
      <c r="W3145" s="4"/>
      <c r="X3145" s="4"/>
      <c r="Y3145" s="4"/>
      <c r="Z3145" s="4"/>
      <c r="AA3145" s="4"/>
      <c r="AB3145" s="5"/>
    </row>
    <row r="3146" spans="1:28" x14ac:dyDescent="0.35">
      <c r="A3146" s="3"/>
      <c r="B3146" s="4"/>
      <c r="C3146" s="4"/>
      <c r="D3146" s="4"/>
      <c r="E3146" s="4"/>
      <c r="F3146" s="4"/>
      <c r="G3146" s="4"/>
      <c r="H3146" s="4"/>
      <c r="I3146" s="4"/>
      <c r="J3146" s="4"/>
      <c r="K3146" s="4"/>
      <c r="L3146" s="4"/>
      <c r="M3146" s="4"/>
      <c r="N3146" s="4"/>
      <c r="O3146" s="4"/>
      <c r="P3146" s="4"/>
      <c r="Q3146" s="4"/>
      <c r="R3146" s="4"/>
      <c r="S3146" s="4"/>
      <c r="T3146" s="4"/>
      <c r="U3146" s="4"/>
      <c r="V3146" s="4"/>
      <c r="W3146" s="4"/>
      <c r="X3146" s="4"/>
      <c r="Y3146" s="4"/>
      <c r="Z3146" s="4"/>
      <c r="AA3146" s="4"/>
      <c r="AB3146" s="5"/>
    </row>
    <row r="3147" spans="1:28" x14ac:dyDescent="0.35">
      <c r="A3147" s="3"/>
      <c r="B3147" s="4"/>
      <c r="C3147" s="4"/>
      <c r="D3147" s="4"/>
      <c r="E3147" s="4"/>
      <c r="F3147" s="4"/>
      <c r="G3147" s="4"/>
      <c r="H3147" s="4"/>
      <c r="I3147" s="4"/>
      <c r="J3147" s="4"/>
      <c r="K3147" s="4"/>
      <c r="L3147" s="4"/>
      <c r="M3147" s="4"/>
      <c r="N3147" s="4"/>
      <c r="O3147" s="4"/>
      <c r="P3147" s="4"/>
      <c r="Q3147" s="4"/>
      <c r="R3147" s="4"/>
      <c r="S3147" s="4"/>
      <c r="T3147" s="4"/>
      <c r="U3147" s="4"/>
      <c r="V3147" s="4"/>
      <c r="W3147" s="4"/>
      <c r="X3147" s="4"/>
      <c r="Y3147" s="4"/>
      <c r="Z3147" s="4"/>
      <c r="AA3147" s="4"/>
      <c r="AB3147" s="5"/>
    </row>
    <row r="3148" spans="1:28" x14ac:dyDescent="0.35">
      <c r="A3148" s="3"/>
      <c r="B3148" s="4"/>
      <c r="C3148" s="4"/>
      <c r="D3148" s="4"/>
      <c r="E3148" s="4"/>
      <c r="F3148" s="4"/>
      <c r="G3148" s="4"/>
      <c r="H3148" s="4"/>
      <c r="I3148" s="4"/>
      <c r="J3148" s="4"/>
      <c r="K3148" s="4"/>
      <c r="L3148" s="4"/>
      <c r="M3148" s="4"/>
      <c r="N3148" s="4"/>
      <c r="O3148" s="4"/>
      <c r="P3148" s="4"/>
      <c r="Q3148" s="4"/>
      <c r="R3148" s="4"/>
      <c r="S3148" s="4"/>
      <c r="T3148" s="4"/>
      <c r="U3148" s="4"/>
      <c r="V3148" s="4"/>
      <c r="W3148" s="4"/>
      <c r="X3148" s="4"/>
      <c r="Y3148" s="4"/>
      <c r="Z3148" s="4"/>
      <c r="AA3148" s="4"/>
      <c r="AB3148" s="5"/>
    </row>
    <row r="3149" spans="1:28" x14ac:dyDescent="0.35">
      <c r="A3149" s="3"/>
      <c r="B3149" s="4"/>
      <c r="C3149" s="4"/>
      <c r="D3149" s="4"/>
      <c r="E3149" s="4"/>
      <c r="F3149" s="4"/>
      <c r="G3149" s="4"/>
      <c r="H3149" s="4"/>
      <c r="I3149" s="4"/>
      <c r="J3149" s="4"/>
      <c r="K3149" s="4"/>
      <c r="L3149" s="4"/>
      <c r="M3149" s="4"/>
      <c r="N3149" s="4"/>
      <c r="O3149" s="4"/>
      <c r="P3149" s="4"/>
      <c r="Q3149" s="4"/>
      <c r="R3149" s="4"/>
      <c r="S3149" s="4"/>
      <c r="T3149" s="4"/>
      <c r="U3149" s="4"/>
      <c r="V3149" s="4"/>
      <c r="W3149" s="4"/>
      <c r="X3149" s="4"/>
      <c r="Y3149" s="4"/>
      <c r="Z3149" s="4"/>
      <c r="AA3149" s="4"/>
      <c r="AB3149" s="5"/>
    </row>
    <row r="3150" spans="1:28" x14ac:dyDescent="0.35">
      <c r="A3150" s="3"/>
      <c r="B3150" s="4"/>
      <c r="C3150" s="4"/>
      <c r="D3150" s="4"/>
      <c r="E3150" s="4"/>
      <c r="F3150" s="4"/>
      <c r="G3150" s="4"/>
      <c r="H3150" s="4"/>
      <c r="I3150" s="4"/>
      <c r="J3150" s="4"/>
      <c r="K3150" s="4"/>
      <c r="L3150" s="4"/>
      <c r="M3150" s="4"/>
      <c r="N3150" s="4"/>
      <c r="O3150" s="4"/>
      <c r="P3150" s="4"/>
      <c r="Q3150" s="4"/>
      <c r="R3150" s="4"/>
      <c r="S3150" s="4"/>
      <c r="T3150" s="4"/>
      <c r="U3150" s="4"/>
      <c r="V3150" s="4"/>
      <c r="W3150" s="4"/>
      <c r="X3150" s="4"/>
      <c r="Y3150" s="4"/>
      <c r="Z3150" s="4"/>
      <c r="AA3150" s="4"/>
      <c r="AB3150" s="5"/>
    </row>
    <row r="3151" spans="1:28" x14ac:dyDescent="0.35">
      <c r="A3151" s="3"/>
      <c r="B3151" s="4"/>
      <c r="C3151" s="4"/>
      <c r="D3151" s="4"/>
      <c r="E3151" s="4"/>
      <c r="F3151" s="4"/>
      <c r="G3151" s="4"/>
      <c r="H3151" s="4"/>
      <c r="I3151" s="4"/>
      <c r="J3151" s="4"/>
      <c r="K3151" s="4"/>
      <c r="L3151" s="4"/>
      <c r="M3151" s="4"/>
      <c r="N3151" s="4"/>
      <c r="O3151" s="4"/>
      <c r="P3151" s="4"/>
      <c r="Q3151" s="4"/>
      <c r="R3151" s="4"/>
      <c r="S3151" s="4"/>
      <c r="T3151" s="4"/>
      <c r="U3151" s="4"/>
      <c r="V3151" s="4"/>
      <c r="W3151" s="4"/>
      <c r="X3151" s="4"/>
      <c r="Y3151" s="4"/>
      <c r="Z3151" s="4"/>
      <c r="AA3151" s="4"/>
      <c r="AB3151" s="5"/>
    </row>
    <row r="3152" spans="1:28" x14ac:dyDescent="0.35">
      <c r="A3152" s="3"/>
      <c r="B3152" s="4"/>
      <c r="C3152" s="4"/>
      <c r="D3152" s="4"/>
      <c r="E3152" s="4"/>
      <c r="F3152" s="4"/>
      <c r="G3152" s="4"/>
      <c r="H3152" s="4"/>
      <c r="I3152" s="4"/>
      <c r="J3152" s="4"/>
      <c r="K3152" s="4"/>
      <c r="L3152" s="4"/>
      <c r="M3152" s="4"/>
      <c r="N3152" s="4"/>
      <c r="O3152" s="4"/>
      <c r="P3152" s="4"/>
      <c r="Q3152" s="4"/>
      <c r="R3152" s="4"/>
      <c r="S3152" s="4"/>
      <c r="T3152" s="4"/>
      <c r="U3152" s="4"/>
      <c r="V3152" s="4"/>
      <c r="W3152" s="4"/>
      <c r="X3152" s="4"/>
      <c r="Y3152" s="4"/>
      <c r="Z3152" s="4"/>
      <c r="AA3152" s="4"/>
      <c r="AB3152" s="5"/>
    </row>
    <row r="3153" spans="1:28" x14ac:dyDescent="0.35">
      <c r="A3153" s="3"/>
      <c r="B3153" s="4"/>
      <c r="C3153" s="4"/>
      <c r="D3153" s="4"/>
      <c r="E3153" s="4"/>
      <c r="F3153" s="4"/>
      <c r="G3153" s="4"/>
      <c r="H3153" s="4"/>
      <c r="I3153" s="4"/>
      <c r="J3153" s="4"/>
      <c r="K3153" s="4"/>
      <c r="L3153" s="4"/>
      <c r="M3153" s="4"/>
      <c r="N3153" s="4"/>
      <c r="O3153" s="4"/>
      <c r="P3153" s="4"/>
      <c r="Q3153" s="4"/>
      <c r="R3153" s="4"/>
      <c r="S3153" s="4"/>
      <c r="T3153" s="4"/>
      <c r="U3153" s="4"/>
      <c r="V3153" s="4"/>
      <c r="W3153" s="4"/>
      <c r="X3153" s="4"/>
      <c r="Y3153" s="4"/>
      <c r="Z3153" s="4"/>
      <c r="AA3153" s="4"/>
      <c r="AB3153" s="5"/>
    </row>
    <row r="3154" spans="1:28" x14ac:dyDescent="0.35">
      <c r="A3154" s="3"/>
      <c r="B3154" s="4"/>
      <c r="C3154" s="4"/>
      <c r="D3154" s="4"/>
      <c r="E3154" s="4"/>
      <c r="F3154" s="4"/>
      <c r="G3154" s="4"/>
      <c r="H3154" s="4"/>
      <c r="I3154" s="4"/>
      <c r="J3154" s="4"/>
      <c r="K3154" s="4"/>
      <c r="L3154" s="4"/>
      <c r="M3154" s="4"/>
      <c r="N3154" s="4"/>
      <c r="O3154" s="4"/>
      <c r="P3154" s="4"/>
      <c r="Q3154" s="4"/>
      <c r="R3154" s="4"/>
      <c r="S3154" s="4"/>
      <c r="T3154" s="4"/>
      <c r="U3154" s="4"/>
      <c r="V3154" s="4"/>
      <c r="W3154" s="4"/>
      <c r="X3154" s="4"/>
      <c r="Y3154" s="4"/>
      <c r="Z3154" s="4"/>
      <c r="AA3154" s="4"/>
      <c r="AB3154" s="5"/>
    </row>
    <row r="3155" spans="1:28" x14ac:dyDescent="0.35">
      <c r="A3155" s="3"/>
      <c r="B3155" s="4"/>
      <c r="C3155" s="4"/>
      <c r="D3155" s="4"/>
      <c r="E3155" s="4"/>
      <c r="F3155" s="4"/>
      <c r="G3155" s="4"/>
      <c r="H3155" s="4"/>
      <c r="I3155" s="4"/>
      <c r="J3155" s="4"/>
      <c r="K3155" s="4"/>
      <c r="L3155" s="4"/>
      <c r="M3155" s="4"/>
      <c r="N3155" s="4"/>
      <c r="O3155" s="4"/>
      <c r="P3155" s="4"/>
      <c r="Q3155" s="4"/>
      <c r="R3155" s="4"/>
      <c r="S3155" s="4"/>
      <c r="T3155" s="4"/>
      <c r="U3155" s="4"/>
      <c r="V3155" s="4"/>
      <c r="W3155" s="4"/>
      <c r="X3155" s="4"/>
      <c r="Y3155" s="4"/>
      <c r="Z3155" s="4"/>
      <c r="AA3155" s="4"/>
      <c r="AB3155" s="5"/>
    </row>
    <row r="3156" spans="1:28" x14ac:dyDescent="0.35">
      <c r="A3156" s="3"/>
      <c r="B3156" s="4"/>
      <c r="C3156" s="4"/>
      <c r="D3156" s="4"/>
      <c r="E3156" s="4"/>
      <c r="F3156" s="4"/>
      <c r="G3156" s="4"/>
      <c r="H3156" s="4"/>
      <c r="I3156" s="4"/>
      <c r="J3156" s="4"/>
      <c r="K3156" s="4"/>
      <c r="L3156" s="4"/>
      <c r="M3156" s="4"/>
      <c r="N3156" s="4"/>
      <c r="O3156" s="4"/>
      <c r="P3156" s="4"/>
      <c r="Q3156" s="4"/>
      <c r="R3156" s="4"/>
      <c r="S3156" s="4"/>
      <c r="T3156" s="4"/>
      <c r="U3156" s="4"/>
      <c r="V3156" s="4"/>
      <c r="W3156" s="4"/>
      <c r="X3156" s="4"/>
      <c r="Y3156" s="4"/>
      <c r="Z3156" s="4"/>
      <c r="AA3156" s="4"/>
      <c r="AB3156" s="5"/>
    </row>
    <row r="3157" spans="1:28" x14ac:dyDescent="0.35">
      <c r="A3157" s="3"/>
      <c r="B3157" s="4"/>
      <c r="C3157" s="4"/>
      <c r="D3157" s="4"/>
      <c r="E3157" s="4"/>
      <c r="F3157" s="4"/>
      <c r="G3157" s="4"/>
      <c r="H3157" s="4"/>
      <c r="I3157" s="4"/>
      <c r="J3157" s="4"/>
      <c r="K3157" s="4"/>
      <c r="L3157" s="4"/>
      <c r="M3157" s="4"/>
      <c r="N3157" s="4"/>
      <c r="O3157" s="4"/>
      <c r="P3157" s="4"/>
      <c r="Q3157" s="4"/>
      <c r="R3157" s="4"/>
      <c r="S3157" s="4"/>
      <c r="T3157" s="4"/>
      <c r="U3157" s="4"/>
      <c r="V3157" s="4"/>
      <c r="W3157" s="4"/>
      <c r="X3157" s="4"/>
      <c r="Y3157" s="4"/>
      <c r="Z3157" s="4"/>
      <c r="AA3157" s="4"/>
      <c r="AB3157" s="5"/>
    </row>
    <row r="3158" spans="1:28" x14ac:dyDescent="0.35">
      <c r="A3158" s="3"/>
      <c r="B3158" s="4"/>
      <c r="C3158" s="4"/>
      <c r="D3158" s="4"/>
      <c r="E3158" s="4"/>
      <c r="F3158" s="4"/>
      <c r="G3158" s="4"/>
      <c r="H3158" s="4"/>
      <c r="I3158" s="4"/>
      <c r="J3158" s="4"/>
      <c r="K3158" s="4"/>
      <c r="L3158" s="4"/>
      <c r="M3158" s="4"/>
      <c r="N3158" s="4"/>
      <c r="O3158" s="4"/>
      <c r="P3158" s="4"/>
      <c r="Q3158" s="4"/>
      <c r="R3158" s="4"/>
      <c r="S3158" s="4"/>
      <c r="T3158" s="4"/>
      <c r="U3158" s="4"/>
      <c r="V3158" s="4"/>
      <c r="W3158" s="4"/>
      <c r="X3158" s="4"/>
      <c r="Y3158" s="4"/>
      <c r="Z3158" s="4"/>
      <c r="AA3158" s="4"/>
      <c r="AB3158" s="5"/>
    </row>
    <row r="3159" spans="1:28" x14ac:dyDescent="0.35">
      <c r="A3159" s="3"/>
      <c r="B3159" s="4"/>
      <c r="C3159" s="4"/>
      <c r="D3159" s="4"/>
      <c r="E3159" s="4"/>
      <c r="F3159" s="4"/>
      <c r="G3159" s="4"/>
      <c r="H3159" s="4"/>
      <c r="I3159" s="4"/>
      <c r="J3159" s="4"/>
      <c r="K3159" s="4"/>
      <c r="L3159" s="4"/>
      <c r="M3159" s="4"/>
      <c r="N3159" s="4"/>
      <c r="O3159" s="4"/>
      <c r="P3159" s="4"/>
      <c r="Q3159" s="4"/>
      <c r="R3159" s="4"/>
      <c r="S3159" s="4"/>
      <c r="T3159" s="4"/>
      <c r="U3159" s="4"/>
      <c r="V3159" s="4"/>
      <c r="W3159" s="4"/>
      <c r="X3159" s="4"/>
      <c r="Y3159" s="4"/>
      <c r="Z3159" s="4"/>
      <c r="AA3159" s="4"/>
      <c r="AB3159" s="5"/>
    </row>
    <row r="3160" spans="1:28" x14ac:dyDescent="0.35">
      <c r="A3160" s="3"/>
      <c r="B3160" s="4"/>
      <c r="C3160" s="4"/>
      <c r="D3160" s="4"/>
      <c r="E3160" s="4"/>
      <c r="F3160" s="4"/>
      <c r="G3160" s="4"/>
      <c r="H3160" s="4"/>
      <c r="I3160" s="4"/>
      <c r="J3160" s="4"/>
      <c r="K3160" s="4"/>
      <c r="L3160" s="4"/>
      <c r="M3160" s="4"/>
      <c r="N3160" s="4"/>
      <c r="O3160" s="4"/>
      <c r="P3160" s="4"/>
      <c r="Q3160" s="4"/>
      <c r="R3160" s="4"/>
      <c r="S3160" s="4"/>
      <c r="T3160" s="4"/>
      <c r="U3160" s="4"/>
      <c r="V3160" s="4"/>
      <c r="W3160" s="4"/>
      <c r="X3160" s="4"/>
      <c r="Y3160" s="4"/>
      <c r="Z3160" s="4"/>
      <c r="AA3160" s="4"/>
      <c r="AB3160" s="5"/>
    </row>
    <row r="3161" spans="1:28" x14ac:dyDescent="0.35">
      <c r="A3161" s="3"/>
      <c r="B3161" s="4"/>
      <c r="C3161" s="4"/>
      <c r="D3161" s="4"/>
      <c r="E3161" s="4"/>
      <c r="F3161" s="4"/>
      <c r="G3161" s="4"/>
      <c r="H3161" s="4"/>
      <c r="I3161" s="4"/>
      <c r="J3161" s="4"/>
      <c r="K3161" s="4"/>
      <c r="L3161" s="4"/>
      <c r="M3161" s="4"/>
      <c r="N3161" s="4"/>
      <c r="O3161" s="4"/>
      <c r="P3161" s="4"/>
      <c r="Q3161" s="4"/>
      <c r="R3161" s="4"/>
      <c r="S3161" s="4"/>
      <c r="T3161" s="4"/>
      <c r="U3161" s="4"/>
      <c r="V3161" s="4"/>
      <c r="W3161" s="4"/>
      <c r="X3161" s="4"/>
      <c r="Y3161" s="4"/>
      <c r="Z3161" s="4"/>
      <c r="AA3161" s="4"/>
      <c r="AB3161" s="5"/>
    </row>
    <row r="3162" spans="1:28" x14ac:dyDescent="0.35">
      <c r="A3162" s="3"/>
      <c r="B3162" s="4"/>
      <c r="C3162" s="4"/>
      <c r="D3162" s="4"/>
      <c r="E3162" s="4"/>
      <c r="F3162" s="4"/>
      <c r="G3162" s="4"/>
      <c r="H3162" s="4"/>
      <c r="I3162" s="4"/>
      <c r="J3162" s="4"/>
      <c r="K3162" s="4"/>
      <c r="L3162" s="4"/>
      <c r="M3162" s="4"/>
      <c r="N3162" s="4"/>
      <c r="O3162" s="4"/>
      <c r="P3162" s="4"/>
      <c r="Q3162" s="4"/>
      <c r="R3162" s="4"/>
      <c r="S3162" s="4"/>
      <c r="T3162" s="4"/>
      <c r="U3162" s="4"/>
      <c r="V3162" s="4"/>
      <c r="W3162" s="4"/>
      <c r="X3162" s="4"/>
      <c r="Y3162" s="4"/>
      <c r="Z3162" s="4"/>
      <c r="AA3162" s="4"/>
      <c r="AB3162" s="5"/>
    </row>
    <row r="3163" spans="1:28" x14ac:dyDescent="0.35">
      <c r="A3163" s="3"/>
      <c r="B3163" s="4"/>
      <c r="C3163" s="4"/>
      <c r="D3163" s="4"/>
      <c r="E3163" s="4"/>
      <c r="F3163" s="4"/>
      <c r="G3163" s="4"/>
      <c r="H3163" s="4"/>
      <c r="I3163" s="4"/>
      <c r="J3163" s="4"/>
      <c r="K3163" s="4"/>
      <c r="L3163" s="4"/>
      <c r="M3163" s="4"/>
      <c r="N3163" s="4"/>
      <c r="O3163" s="4"/>
      <c r="P3163" s="4"/>
      <c r="Q3163" s="4"/>
      <c r="R3163" s="4"/>
      <c r="S3163" s="4"/>
      <c r="T3163" s="4"/>
      <c r="U3163" s="4"/>
      <c r="V3163" s="4"/>
      <c r="W3163" s="4"/>
      <c r="X3163" s="4"/>
      <c r="Y3163" s="4"/>
      <c r="Z3163" s="4"/>
      <c r="AA3163" s="4"/>
      <c r="AB3163" s="5"/>
    </row>
    <row r="3164" spans="1:28" x14ac:dyDescent="0.35">
      <c r="A3164" s="3"/>
      <c r="B3164" s="4"/>
      <c r="C3164" s="4"/>
      <c r="D3164" s="4"/>
      <c r="E3164" s="4"/>
      <c r="F3164" s="4"/>
      <c r="G3164" s="4"/>
      <c r="H3164" s="4"/>
      <c r="I3164" s="4"/>
      <c r="J3164" s="4"/>
      <c r="K3164" s="4"/>
      <c r="L3164" s="4"/>
      <c r="M3164" s="4"/>
      <c r="N3164" s="4"/>
      <c r="O3164" s="4"/>
      <c r="P3164" s="4"/>
      <c r="Q3164" s="4"/>
      <c r="R3164" s="4"/>
      <c r="S3164" s="4"/>
      <c r="T3164" s="4"/>
      <c r="U3164" s="4"/>
      <c r="V3164" s="4"/>
      <c r="W3164" s="4"/>
      <c r="X3164" s="4"/>
      <c r="Y3164" s="4"/>
      <c r="Z3164" s="4"/>
      <c r="AA3164" s="4"/>
      <c r="AB3164" s="5"/>
    </row>
    <row r="3165" spans="1:28" x14ac:dyDescent="0.35">
      <c r="A3165" s="3"/>
      <c r="B3165" s="4"/>
      <c r="C3165" s="4"/>
      <c r="D3165" s="4"/>
      <c r="E3165" s="4"/>
      <c r="F3165" s="4"/>
      <c r="G3165" s="4"/>
      <c r="H3165" s="4"/>
      <c r="I3165" s="4"/>
      <c r="J3165" s="4"/>
      <c r="K3165" s="4"/>
      <c r="L3165" s="4"/>
      <c r="M3165" s="4"/>
      <c r="N3165" s="4"/>
      <c r="O3165" s="4"/>
      <c r="P3165" s="4"/>
      <c r="Q3165" s="4"/>
      <c r="R3165" s="4"/>
      <c r="S3165" s="4"/>
      <c r="T3165" s="4"/>
      <c r="U3165" s="4"/>
      <c r="V3165" s="4"/>
      <c r="W3165" s="4"/>
      <c r="X3165" s="4"/>
      <c r="Y3165" s="4"/>
      <c r="Z3165" s="4"/>
      <c r="AA3165" s="4"/>
      <c r="AB3165" s="5"/>
    </row>
    <row r="3166" spans="1:28" x14ac:dyDescent="0.35">
      <c r="A3166" s="3"/>
      <c r="B3166" s="4"/>
      <c r="C3166" s="4"/>
      <c r="D3166" s="4"/>
      <c r="E3166" s="4"/>
      <c r="F3166" s="4"/>
      <c r="G3166" s="4"/>
      <c r="H3166" s="4"/>
      <c r="I3166" s="4"/>
      <c r="J3166" s="4"/>
      <c r="K3166" s="4"/>
      <c r="L3166" s="4"/>
      <c r="M3166" s="4"/>
      <c r="N3166" s="4"/>
      <c r="O3166" s="4"/>
      <c r="P3166" s="4"/>
      <c r="Q3166" s="4"/>
      <c r="R3166" s="4"/>
      <c r="S3166" s="4"/>
      <c r="T3166" s="4"/>
      <c r="U3166" s="4"/>
      <c r="V3166" s="4"/>
      <c r="W3166" s="4"/>
      <c r="X3166" s="4"/>
      <c r="Y3166" s="4"/>
      <c r="Z3166" s="4"/>
      <c r="AA3166" s="4"/>
      <c r="AB3166" s="5"/>
    </row>
    <row r="3167" spans="1:28" x14ac:dyDescent="0.35">
      <c r="A3167" s="3"/>
      <c r="B3167" s="4"/>
      <c r="C3167" s="4"/>
      <c r="D3167" s="4"/>
      <c r="E3167" s="4"/>
      <c r="F3167" s="4"/>
      <c r="G3167" s="4"/>
      <c r="H3167" s="4"/>
      <c r="I3167" s="4"/>
      <c r="J3167" s="4"/>
      <c r="K3167" s="4"/>
      <c r="L3167" s="4"/>
      <c r="M3167" s="4"/>
      <c r="N3167" s="4"/>
      <c r="O3167" s="4"/>
      <c r="P3167" s="4"/>
      <c r="Q3167" s="4"/>
      <c r="R3167" s="4"/>
      <c r="S3167" s="4"/>
      <c r="T3167" s="4"/>
      <c r="U3167" s="4"/>
      <c r="V3167" s="4"/>
      <c r="W3167" s="4"/>
      <c r="X3167" s="4"/>
      <c r="Y3167" s="4"/>
      <c r="Z3167" s="4"/>
      <c r="AA3167" s="4"/>
      <c r="AB3167" s="5"/>
    </row>
    <row r="3168" spans="1:28" x14ac:dyDescent="0.35">
      <c r="A3168" s="3"/>
      <c r="B3168" s="4"/>
      <c r="C3168" s="4"/>
      <c r="D3168" s="4"/>
      <c r="E3168" s="4"/>
      <c r="F3168" s="4"/>
      <c r="G3168" s="4"/>
      <c r="H3168" s="4"/>
      <c r="I3168" s="4"/>
      <c r="J3168" s="4"/>
      <c r="K3168" s="4"/>
      <c r="L3168" s="4"/>
      <c r="M3168" s="4"/>
      <c r="N3168" s="4"/>
      <c r="O3168" s="4"/>
      <c r="P3168" s="4"/>
      <c r="Q3168" s="4"/>
      <c r="R3168" s="4"/>
      <c r="S3168" s="4"/>
      <c r="T3168" s="4"/>
      <c r="U3168" s="4"/>
      <c r="V3168" s="4"/>
      <c r="W3168" s="4"/>
      <c r="X3168" s="4"/>
      <c r="Y3168" s="4"/>
      <c r="Z3168" s="4"/>
      <c r="AA3168" s="4"/>
      <c r="AB3168" s="5"/>
    </row>
    <row r="3169" spans="1:28" x14ac:dyDescent="0.35">
      <c r="A3169" s="3"/>
      <c r="B3169" s="4"/>
      <c r="C3169" s="4"/>
      <c r="D3169" s="4"/>
      <c r="E3169" s="4"/>
      <c r="F3169" s="4"/>
      <c r="G3169" s="4"/>
      <c r="H3169" s="4"/>
      <c r="I3169" s="4"/>
      <c r="J3169" s="4"/>
      <c r="K3169" s="4"/>
      <c r="L3169" s="4"/>
      <c r="M3169" s="4"/>
      <c r="N3169" s="4"/>
      <c r="O3169" s="4"/>
      <c r="P3169" s="4"/>
      <c r="Q3169" s="4"/>
      <c r="R3169" s="4"/>
      <c r="S3169" s="4"/>
      <c r="T3169" s="4"/>
      <c r="U3169" s="4"/>
      <c r="V3169" s="4"/>
      <c r="W3169" s="4"/>
      <c r="X3169" s="4"/>
      <c r="Y3169" s="4"/>
      <c r="Z3169" s="4"/>
      <c r="AA3169" s="4"/>
      <c r="AB3169" s="5"/>
    </row>
    <row r="3170" spans="1:28" x14ac:dyDescent="0.35">
      <c r="A3170" s="3"/>
      <c r="B3170" s="4"/>
      <c r="C3170" s="4"/>
      <c r="D3170" s="4"/>
      <c r="E3170" s="4"/>
      <c r="F3170" s="4"/>
      <c r="G3170" s="4"/>
      <c r="H3170" s="4"/>
      <c r="I3170" s="4"/>
      <c r="J3170" s="4"/>
      <c r="K3170" s="4"/>
      <c r="L3170" s="4"/>
      <c r="M3170" s="4"/>
      <c r="N3170" s="4"/>
      <c r="O3170" s="4"/>
      <c r="P3170" s="4"/>
      <c r="Q3170" s="4"/>
      <c r="R3170" s="4"/>
      <c r="S3170" s="4"/>
      <c r="T3170" s="4"/>
      <c r="U3170" s="4"/>
      <c r="V3170" s="4"/>
      <c r="W3170" s="4"/>
      <c r="X3170" s="4"/>
      <c r="Y3170" s="4"/>
      <c r="Z3170" s="4"/>
      <c r="AA3170" s="4"/>
      <c r="AB3170" s="5"/>
    </row>
    <row r="3171" spans="1:28" x14ac:dyDescent="0.35">
      <c r="A3171" s="3"/>
      <c r="B3171" s="4"/>
      <c r="C3171" s="4"/>
      <c r="D3171" s="4"/>
      <c r="E3171" s="4"/>
      <c r="F3171" s="4"/>
      <c r="G3171" s="4"/>
      <c r="H3171" s="4"/>
      <c r="I3171" s="4"/>
      <c r="J3171" s="4"/>
      <c r="K3171" s="4"/>
      <c r="L3171" s="4"/>
      <c r="M3171" s="4"/>
      <c r="N3171" s="4"/>
      <c r="O3171" s="4"/>
      <c r="P3171" s="4"/>
      <c r="Q3171" s="4"/>
      <c r="R3171" s="4"/>
      <c r="S3171" s="4"/>
      <c r="T3171" s="4"/>
      <c r="U3171" s="4"/>
      <c r="V3171" s="4"/>
      <c r="W3171" s="4"/>
      <c r="X3171" s="4"/>
      <c r="Y3171" s="4"/>
      <c r="Z3171" s="4"/>
      <c r="AA3171" s="4"/>
      <c r="AB3171" s="5"/>
    </row>
    <row r="3172" spans="1:28" x14ac:dyDescent="0.35">
      <c r="A3172" s="3"/>
      <c r="B3172" s="4"/>
      <c r="C3172" s="4"/>
      <c r="D3172" s="4"/>
      <c r="E3172" s="4"/>
      <c r="F3172" s="4"/>
      <c r="G3172" s="4"/>
      <c r="H3172" s="4"/>
      <c r="I3172" s="4"/>
      <c r="J3172" s="4"/>
      <c r="K3172" s="4"/>
      <c r="L3172" s="4"/>
      <c r="M3172" s="4"/>
      <c r="N3172" s="4"/>
      <c r="O3172" s="4"/>
      <c r="P3172" s="4"/>
      <c r="Q3172" s="4"/>
      <c r="R3172" s="4"/>
      <c r="S3172" s="4"/>
      <c r="T3172" s="4"/>
      <c r="U3172" s="4"/>
      <c r="V3172" s="4"/>
      <c r="W3172" s="4"/>
      <c r="X3172" s="4"/>
      <c r="Y3172" s="4"/>
      <c r="Z3172" s="4"/>
      <c r="AA3172" s="4"/>
      <c r="AB3172" s="5"/>
    </row>
    <row r="3173" spans="1:28" x14ac:dyDescent="0.35">
      <c r="A3173" s="3"/>
      <c r="B3173" s="4"/>
      <c r="C3173" s="4"/>
      <c r="D3173" s="4"/>
      <c r="E3173" s="4"/>
      <c r="F3173" s="4"/>
      <c r="G3173" s="4"/>
      <c r="H3173" s="4"/>
      <c r="I3173" s="4"/>
      <c r="J3173" s="4"/>
      <c r="K3173" s="4"/>
      <c r="L3173" s="4"/>
      <c r="M3173" s="4"/>
      <c r="N3173" s="4"/>
      <c r="O3173" s="4"/>
      <c r="P3173" s="4"/>
      <c r="Q3173" s="4"/>
      <c r="R3173" s="4"/>
      <c r="S3173" s="4"/>
      <c r="T3173" s="4"/>
      <c r="U3173" s="4"/>
      <c r="V3173" s="4"/>
      <c r="W3173" s="4"/>
      <c r="X3173" s="4"/>
      <c r="Y3173" s="4"/>
      <c r="Z3173" s="4"/>
      <c r="AA3173" s="4"/>
      <c r="AB3173" s="5"/>
    </row>
    <row r="3174" spans="1:28" x14ac:dyDescent="0.35">
      <c r="A3174" s="3"/>
      <c r="B3174" s="4"/>
      <c r="C3174" s="4"/>
      <c r="D3174" s="4"/>
      <c r="E3174" s="4"/>
      <c r="F3174" s="4"/>
      <c r="G3174" s="4"/>
      <c r="H3174" s="4"/>
      <c r="I3174" s="4"/>
      <c r="J3174" s="4"/>
      <c r="K3174" s="4"/>
      <c r="L3174" s="4"/>
      <c r="M3174" s="4"/>
      <c r="N3174" s="4"/>
      <c r="O3174" s="4"/>
      <c r="P3174" s="4"/>
      <c r="Q3174" s="4"/>
      <c r="R3174" s="4"/>
      <c r="S3174" s="4"/>
      <c r="T3174" s="4"/>
      <c r="U3174" s="4"/>
      <c r="V3174" s="4"/>
      <c r="W3174" s="4"/>
      <c r="X3174" s="4"/>
      <c r="Y3174" s="4"/>
      <c r="Z3174" s="4"/>
      <c r="AA3174" s="4"/>
      <c r="AB3174" s="5"/>
    </row>
    <row r="3175" spans="1:28" x14ac:dyDescent="0.35">
      <c r="A3175" s="3"/>
      <c r="B3175" s="4"/>
      <c r="C3175" s="4"/>
      <c r="D3175" s="4"/>
      <c r="E3175" s="4"/>
      <c r="F3175" s="4"/>
      <c r="G3175" s="4"/>
      <c r="H3175" s="4"/>
      <c r="I3175" s="4"/>
      <c r="J3175" s="4"/>
      <c r="K3175" s="4"/>
      <c r="L3175" s="4"/>
      <c r="M3175" s="4"/>
      <c r="N3175" s="4"/>
      <c r="O3175" s="4"/>
      <c r="P3175" s="4"/>
      <c r="Q3175" s="4"/>
      <c r="R3175" s="4"/>
      <c r="S3175" s="4"/>
      <c r="T3175" s="4"/>
      <c r="U3175" s="4"/>
      <c r="V3175" s="4"/>
      <c r="W3175" s="4"/>
      <c r="X3175" s="4"/>
      <c r="Y3175" s="4"/>
      <c r="Z3175" s="4"/>
      <c r="AA3175" s="4"/>
      <c r="AB3175" s="5"/>
    </row>
    <row r="3176" spans="1:28" x14ac:dyDescent="0.35">
      <c r="A3176" s="3"/>
      <c r="B3176" s="4"/>
      <c r="C3176" s="4"/>
      <c r="D3176" s="4"/>
      <c r="E3176" s="4"/>
      <c r="F3176" s="4"/>
      <c r="G3176" s="4"/>
      <c r="H3176" s="4"/>
      <c r="I3176" s="4"/>
      <c r="J3176" s="4"/>
      <c r="K3176" s="4"/>
      <c r="L3176" s="4"/>
      <c r="M3176" s="4"/>
      <c r="N3176" s="4"/>
      <c r="O3176" s="4"/>
      <c r="P3176" s="4"/>
      <c r="Q3176" s="4"/>
      <c r="R3176" s="4"/>
      <c r="S3176" s="4"/>
      <c r="T3176" s="4"/>
      <c r="U3176" s="4"/>
      <c r="V3176" s="4"/>
      <c r="W3176" s="4"/>
      <c r="X3176" s="4"/>
      <c r="Y3176" s="4"/>
      <c r="Z3176" s="4"/>
      <c r="AA3176" s="4"/>
      <c r="AB3176" s="5"/>
    </row>
    <row r="3177" spans="1:28" x14ac:dyDescent="0.35">
      <c r="A3177" s="3"/>
      <c r="B3177" s="4"/>
      <c r="C3177" s="4"/>
      <c r="D3177" s="4"/>
      <c r="E3177" s="4"/>
      <c r="F3177" s="4"/>
      <c r="G3177" s="4"/>
      <c r="H3177" s="4"/>
      <c r="I3177" s="4"/>
      <c r="J3177" s="4"/>
      <c r="K3177" s="4"/>
      <c r="L3177" s="4"/>
      <c r="M3177" s="4"/>
      <c r="N3177" s="4"/>
      <c r="O3177" s="4"/>
      <c r="P3177" s="4"/>
      <c r="Q3177" s="4"/>
      <c r="R3177" s="4"/>
      <c r="S3177" s="4"/>
      <c r="T3177" s="4"/>
      <c r="U3177" s="4"/>
      <c r="V3177" s="4"/>
      <c r="W3177" s="4"/>
      <c r="X3177" s="4"/>
      <c r="Y3177" s="4"/>
      <c r="Z3177" s="4"/>
      <c r="AA3177" s="4"/>
      <c r="AB3177" s="5"/>
    </row>
    <row r="3178" spans="1:28" x14ac:dyDescent="0.35">
      <c r="A3178" s="3"/>
      <c r="B3178" s="4"/>
      <c r="C3178" s="4"/>
      <c r="D3178" s="4"/>
      <c r="E3178" s="4"/>
      <c r="F3178" s="4"/>
      <c r="G3178" s="4"/>
      <c r="H3178" s="4"/>
      <c r="I3178" s="4"/>
      <c r="J3178" s="4"/>
      <c r="K3178" s="4"/>
      <c r="L3178" s="4"/>
      <c r="M3178" s="4"/>
      <c r="N3178" s="4"/>
      <c r="O3178" s="4"/>
      <c r="P3178" s="4"/>
      <c r="Q3178" s="4"/>
      <c r="R3178" s="4"/>
      <c r="S3178" s="4"/>
      <c r="T3178" s="4"/>
      <c r="U3178" s="4"/>
      <c r="V3178" s="4"/>
      <c r="W3178" s="4"/>
      <c r="X3178" s="4"/>
      <c r="Y3178" s="4"/>
      <c r="Z3178" s="4"/>
      <c r="AA3178" s="4"/>
      <c r="AB3178" s="5"/>
    </row>
    <row r="3179" spans="1:28" x14ac:dyDescent="0.35">
      <c r="A3179" s="3"/>
      <c r="B3179" s="4"/>
      <c r="C3179" s="4"/>
      <c r="D3179" s="4"/>
      <c r="E3179" s="4"/>
      <c r="F3179" s="4"/>
      <c r="G3179" s="4"/>
      <c r="H3179" s="4"/>
      <c r="I3179" s="4"/>
      <c r="J3179" s="4"/>
      <c r="K3179" s="4"/>
      <c r="L3179" s="4"/>
      <c r="M3179" s="4"/>
      <c r="N3179" s="4"/>
      <c r="O3179" s="4"/>
      <c r="P3179" s="4"/>
      <c r="Q3179" s="4"/>
      <c r="R3179" s="4"/>
      <c r="S3179" s="4"/>
      <c r="T3179" s="4"/>
      <c r="U3179" s="4"/>
      <c r="V3179" s="4"/>
      <c r="W3179" s="4"/>
      <c r="X3179" s="4"/>
      <c r="Y3179" s="4"/>
      <c r="Z3179" s="4"/>
      <c r="AA3179" s="4"/>
      <c r="AB3179" s="5"/>
    </row>
    <row r="3180" spans="1:28" x14ac:dyDescent="0.35">
      <c r="A3180" s="3"/>
      <c r="B3180" s="4"/>
      <c r="C3180" s="4"/>
      <c r="D3180" s="4"/>
      <c r="E3180" s="4"/>
      <c r="F3180" s="4"/>
      <c r="G3180" s="4"/>
      <c r="H3180" s="4"/>
      <c r="I3180" s="4"/>
      <c r="J3180" s="4"/>
      <c r="K3180" s="4"/>
      <c r="L3180" s="4"/>
      <c r="M3180" s="4"/>
      <c r="N3180" s="4"/>
      <c r="O3180" s="4"/>
      <c r="P3180" s="4"/>
      <c r="Q3180" s="4"/>
      <c r="R3180" s="4"/>
      <c r="S3180" s="4"/>
      <c r="T3180" s="4"/>
      <c r="U3180" s="4"/>
      <c r="V3180" s="4"/>
      <c r="W3180" s="4"/>
      <c r="X3180" s="4"/>
      <c r="Y3180" s="4"/>
      <c r="Z3180" s="4"/>
      <c r="AA3180" s="4"/>
      <c r="AB3180" s="5"/>
    </row>
    <row r="3181" spans="1:28" x14ac:dyDescent="0.35">
      <c r="A3181" s="3"/>
      <c r="B3181" s="4"/>
      <c r="C3181" s="4"/>
      <c r="D3181" s="4"/>
      <c r="E3181" s="4"/>
      <c r="F3181" s="4"/>
      <c r="G3181" s="4"/>
      <c r="H3181" s="4"/>
      <c r="I3181" s="4"/>
      <c r="J3181" s="4"/>
      <c r="K3181" s="4"/>
      <c r="L3181" s="4"/>
      <c r="M3181" s="4"/>
      <c r="N3181" s="4"/>
      <c r="O3181" s="4"/>
      <c r="P3181" s="4"/>
      <c r="Q3181" s="4"/>
      <c r="R3181" s="4"/>
      <c r="S3181" s="4"/>
      <c r="T3181" s="4"/>
      <c r="U3181" s="4"/>
      <c r="V3181" s="4"/>
      <c r="W3181" s="4"/>
      <c r="X3181" s="4"/>
      <c r="Y3181" s="4"/>
      <c r="Z3181" s="4"/>
      <c r="AA3181" s="4"/>
      <c r="AB3181" s="5"/>
    </row>
    <row r="3182" spans="1:28" x14ac:dyDescent="0.35">
      <c r="A3182" s="3"/>
      <c r="B3182" s="4"/>
      <c r="C3182" s="4"/>
      <c r="D3182" s="4"/>
      <c r="E3182" s="4"/>
      <c r="F3182" s="4"/>
      <c r="G3182" s="4"/>
      <c r="H3182" s="4"/>
      <c r="I3182" s="4"/>
      <c r="J3182" s="4"/>
      <c r="K3182" s="4"/>
      <c r="L3182" s="4"/>
      <c r="M3182" s="4"/>
      <c r="N3182" s="4"/>
      <c r="O3182" s="4"/>
      <c r="P3182" s="4"/>
      <c r="Q3182" s="4"/>
      <c r="R3182" s="4"/>
      <c r="S3182" s="4"/>
      <c r="T3182" s="4"/>
      <c r="U3182" s="4"/>
      <c r="V3182" s="4"/>
      <c r="W3182" s="4"/>
      <c r="X3182" s="4"/>
      <c r="Y3182" s="4"/>
      <c r="Z3182" s="4"/>
      <c r="AA3182" s="4"/>
      <c r="AB3182" s="5"/>
    </row>
    <row r="3183" spans="1:28" x14ac:dyDescent="0.35">
      <c r="A3183" s="3"/>
      <c r="B3183" s="4"/>
      <c r="C3183" s="4"/>
      <c r="D3183" s="4"/>
      <c r="E3183" s="4"/>
      <c r="F3183" s="4"/>
      <c r="G3183" s="4"/>
      <c r="H3183" s="4"/>
      <c r="I3183" s="4"/>
      <c r="J3183" s="4"/>
      <c r="K3183" s="4"/>
      <c r="L3183" s="4"/>
      <c r="M3183" s="4"/>
      <c r="N3183" s="4"/>
      <c r="O3183" s="4"/>
      <c r="P3183" s="4"/>
      <c r="Q3183" s="4"/>
      <c r="R3183" s="4"/>
      <c r="S3183" s="4"/>
      <c r="T3183" s="4"/>
      <c r="U3183" s="4"/>
      <c r="V3183" s="4"/>
      <c r="W3183" s="4"/>
      <c r="X3183" s="4"/>
      <c r="Y3183" s="4"/>
      <c r="Z3183" s="4"/>
      <c r="AA3183" s="4"/>
      <c r="AB3183" s="5"/>
    </row>
    <row r="3184" spans="1:28" x14ac:dyDescent="0.35">
      <c r="A3184" s="3"/>
      <c r="B3184" s="4"/>
      <c r="C3184" s="4"/>
      <c r="D3184" s="4"/>
      <c r="E3184" s="4"/>
      <c r="F3184" s="4"/>
      <c r="G3184" s="4"/>
      <c r="H3184" s="4"/>
      <c r="I3184" s="4"/>
      <c r="J3184" s="4"/>
      <c r="K3184" s="4"/>
      <c r="L3184" s="4"/>
      <c r="M3184" s="4"/>
      <c r="N3184" s="4"/>
      <c r="O3184" s="4"/>
      <c r="P3184" s="4"/>
      <c r="Q3184" s="4"/>
      <c r="R3184" s="4"/>
      <c r="S3184" s="4"/>
      <c r="T3184" s="4"/>
      <c r="U3184" s="4"/>
      <c r="V3184" s="4"/>
      <c r="W3184" s="4"/>
      <c r="X3184" s="4"/>
      <c r="Y3184" s="4"/>
      <c r="Z3184" s="4"/>
      <c r="AA3184" s="4"/>
      <c r="AB3184" s="5"/>
    </row>
    <row r="3185" spans="1:28" x14ac:dyDescent="0.35">
      <c r="A3185" s="3"/>
      <c r="B3185" s="4"/>
      <c r="C3185" s="4"/>
      <c r="D3185" s="4"/>
      <c r="E3185" s="4"/>
      <c r="F3185" s="4"/>
      <c r="G3185" s="4"/>
      <c r="H3185" s="4"/>
      <c r="I3185" s="4"/>
      <c r="J3185" s="4"/>
      <c r="K3185" s="4"/>
      <c r="L3185" s="4"/>
      <c r="M3185" s="4"/>
      <c r="N3185" s="4"/>
      <c r="O3185" s="4"/>
      <c r="P3185" s="4"/>
      <c r="Q3185" s="4"/>
      <c r="R3185" s="4"/>
      <c r="S3185" s="4"/>
      <c r="T3185" s="4"/>
      <c r="U3185" s="4"/>
      <c r="V3185" s="4"/>
      <c r="W3185" s="4"/>
      <c r="X3185" s="4"/>
      <c r="Y3185" s="4"/>
      <c r="Z3185" s="4"/>
      <c r="AA3185" s="4"/>
      <c r="AB3185" s="5"/>
    </row>
    <row r="3186" spans="1:28" x14ac:dyDescent="0.35">
      <c r="A3186" s="3"/>
      <c r="B3186" s="4"/>
      <c r="C3186" s="4"/>
      <c r="D3186" s="4"/>
      <c r="E3186" s="4"/>
      <c r="F3186" s="4"/>
      <c r="G3186" s="4"/>
      <c r="H3186" s="4"/>
      <c r="I3186" s="4"/>
      <c r="J3186" s="4"/>
      <c r="K3186" s="4"/>
      <c r="L3186" s="4"/>
      <c r="M3186" s="4"/>
      <c r="N3186" s="4"/>
      <c r="O3186" s="4"/>
      <c r="P3186" s="4"/>
      <c r="Q3186" s="4"/>
      <c r="R3186" s="4"/>
      <c r="S3186" s="4"/>
      <c r="T3186" s="4"/>
      <c r="U3186" s="4"/>
      <c r="V3186" s="4"/>
      <c r="W3186" s="4"/>
      <c r="X3186" s="4"/>
      <c r="Y3186" s="4"/>
      <c r="Z3186" s="4"/>
      <c r="AA3186" s="4"/>
      <c r="AB3186" s="5"/>
    </row>
    <row r="3187" spans="1:28" x14ac:dyDescent="0.35">
      <c r="A3187" s="3"/>
      <c r="B3187" s="4"/>
      <c r="C3187" s="4"/>
      <c r="D3187" s="4"/>
      <c r="E3187" s="4"/>
      <c r="F3187" s="4"/>
      <c r="G3187" s="4"/>
      <c r="H3187" s="4"/>
      <c r="I3187" s="4"/>
      <c r="J3187" s="4"/>
      <c r="K3187" s="4"/>
      <c r="L3187" s="4"/>
      <c r="M3187" s="4"/>
      <c r="N3187" s="4"/>
      <c r="O3187" s="4"/>
      <c r="P3187" s="4"/>
      <c r="Q3187" s="4"/>
      <c r="R3187" s="4"/>
      <c r="S3187" s="4"/>
      <c r="T3187" s="4"/>
      <c r="U3187" s="4"/>
      <c r="V3187" s="4"/>
      <c r="W3187" s="4"/>
      <c r="X3187" s="4"/>
      <c r="Y3187" s="4"/>
      <c r="Z3187" s="4"/>
      <c r="AA3187" s="4"/>
      <c r="AB3187" s="5"/>
    </row>
    <row r="3188" spans="1:28" x14ac:dyDescent="0.35">
      <c r="A3188" s="3"/>
      <c r="B3188" s="4"/>
      <c r="C3188" s="4"/>
      <c r="D3188" s="4"/>
      <c r="E3188" s="4"/>
      <c r="F3188" s="4"/>
      <c r="G3188" s="4"/>
      <c r="H3188" s="4"/>
      <c r="I3188" s="4"/>
      <c r="J3188" s="4"/>
      <c r="K3188" s="4"/>
      <c r="L3188" s="4"/>
      <c r="M3188" s="4"/>
      <c r="N3188" s="4"/>
      <c r="O3188" s="4"/>
      <c r="P3188" s="4"/>
      <c r="Q3188" s="4"/>
      <c r="R3188" s="4"/>
      <c r="S3188" s="4"/>
      <c r="T3188" s="4"/>
      <c r="U3188" s="4"/>
      <c r="V3188" s="4"/>
      <c r="W3188" s="4"/>
      <c r="X3188" s="4"/>
      <c r="Y3188" s="4"/>
      <c r="Z3188" s="4"/>
      <c r="AA3188" s="4"/>
      <c r="AB3188" s="5"/>
    </row>
    <row r="3189" spans="1:28" x14ac:dyDescent="0.35">
      <c r="A3189" s="3"/>
      <c r="B3189" s="4"/>
      <c r="C3189" s="4"/>
      <c r="D3189" s="4"/>
      <c r="E3189" s="4"/>
      <c r="F3189" s="4"/>
      <c r="G3189" s="4"/>
      <c r="H3189" s="4"/>
      <c r="I3189" s="4"/>
      <c r="J3189" s="4"/>
      <c r="K3189" s="4"/>
      <c r="L3189" s="4"/>
      <c r="M3189" s="4"/>
      <c r="N3189" s="4"/>
      <c r="O3189" s="4"/>
      <c r="P3189" s="4"/>
      <c r="Q3189" s="4"/>
      <c r="R3189" s="4"/>
      <c r="S3189" s="4"/>
      <c r="T3189" s="4"/>
      <c r="U3189" s="4"/>
      <c r="V3189" s="4"/>
      <c r="W3189" s="4"/>
      <c r="X3189" s="4"/>
      <c r="Y3189" s="4"/>
      <c r="Z3189" s="4"/>
      <c r="AA3189" s="4"/>
      <c r="AB3189" s="5"/>
    </row>
    <row r="3190" spans="1:28" x14ac:dyDescent="0.35">
      <c r="A3190" s="3"/>
      <c r="B3190" s="4"/>
      <c r="C3190" s="4"/>
      <c r="D3190" s="4"/>
      <c r="E3190" s="4"/>
      <c r="F3190" s="4"/>
      <c r="G3190" s="4"/>
      <c r="H3190" s="4"/>
      <c r="I3190" s="4"/>
      <c r="J3190" s="4"/>
      <c r="K3190" s="4"/>
      <c r="L3190" s="4"/>
      <c r="M3190" s="4"/>
      <c r="N3190" s="4"/>
      <c r="O3190" s="4"/>
      <c r="P3190" s="4"/>
      <c r="Q3190" s="4"/>
      <c r="R3190" s="4"/>
      <c r="S3190" s="4"/>
      <c r="T3190" s="4"/>
      <c r="U3190" s="4"/>
      <c r="V3190" s="4"/>
      <c r="W3190" s="4"/>
      <c r="X3190" s="4"/>
      <c r="Y3190" s="4"/>
      <c r="Z3190" s="4"/>
      <c r="AA3190" s="4"/>
      <c r="AB3190" s="5"/>
    </row>
    <row r="3191" spans="1:28" x14ac:dyDescent="0.35">
      <c r="A3191" s="3"/>
      <c r="B3191" s="4"/>
      <c r="C3191" s="4"/>
      <c r="D3191" s="4"/>
      <c r="E3191" s="4"/>
      <c r="F3191" s="4"/>
      <c r="G3191" s="4"/>
      <c r="H3191" s="4"/>
      <c r="I3191" s="4"/>
      <c r="J3191" s="4"/>
      <c r="K3191" s="4"/>
      <c r="L3191" s="4"/>
      <c r="M3191" s="4"/>
      <c r="N3191" s="4"/>
      <c r="O3191" s="4"/>
      <c r="P3191" s="4"/>
      <c r="Q3191" s="4"/>
      <c r="R3191" s="4"/>
      <c r="S3191" s="4"/>
      <c r="T3191" s="4"/>
      <c r="U3191" s="4"/>
      <c r="V3191" s="4"/>
      <c r="W3191" s="4"/>
      <c r="X3191" s="4"/>
      <c r="Y3191" s="4"/>
      <c r="Z3191" s="4"/>
      <c r="AA3191" s="4"/>
      <c r="AB3191" s="5"/>
    </row>
    <row r="3192" spans="1:28" x14ac:dyDescent="0.35">
      <c r="A3192" s="3"/>
      <c r="B3192" s="4"/>
      <c r="C3192" s="4"/>
      <c r="D3192" s="4"/>
      <c r="E3192" s="4"/>
      <c r="F3192" s="4"/>
      <c r="G3192" s="4"/>
      <c r="H3192" s="4"/>
      <c r="I3192" s="4"/>
      <c r="J3192" s="4"/>
      <c r="K3192" s="4"/>
      <c r="L3192" s="4"/>
      <c r="M3192" s="4"/>
      <c r="N3192" s="4"/>
      <c r="O3192" s="4"/>
      <c r="P3192" s="4"/>
      <c r="Q3192" s="4"/>
      <c r="R3192" s="4"/>
      <c r="S3192" s="4"/>
      <c r="T3192" s="4"/>
      <c r="U3192" s="4"/>
      <c r="V3192" s="4"/>
      <c r="W3192" s="4"/>
      <c r="X3192" s="4"/>
      <c r="Y3192" s="4"/>
      <c r="Z3192" s="4"/>
      <c r="AA3192" s="4"/>
      <c r="AB3192" s="5"/>
    </row>
    <row r="3193" spans="1:28" x14ac:dyDescent="0.35">
      <c r="A3193" s="3"/>
      <c r="B3193" s="4"/>
      <c r="C3193" s="4"/>
      <c r="D3193" s="4"/>
      <c r="E3193" s="4"/>
      <c r="F3193" s="4"/>
      <c r="G3193" s="4"/>
      <c r="H3193" s="4"/>
      <c r="I3193" s="4"/>
      <c r="J3193" s="4"/>
      <c r="K3193" s="4"/>
      <c r="L3193" s="4"/>
      <c r="M3193" s="4"/>
      <c r="N3193" s="4"/>
      <c r="O3193" s="4"/>
      <c r="P3193" s="4"/>
      <c r="Q3193" s="4"/>
      <c r="R3193" s="4"/>
      <c r="S3193" s="4"/>
      <c r="T3193" s="4"/>
      <c r="U3193" s="4"/>
      <c r="V3193" s="4"/>
      <c r="W3193" s="4"/>
      <c r="X3193" s="4"/>
      <c r="Y3193" s="4"/>
      <c r="Z3193" s="4"/>
      <c r="AA3193" s="4"/>
      <c r="AB3193" s="5"/>
    </row>
    <row r="3194" spans="1:28" x14ac:dyDescent="0.35">
      <c r="A3194" s="3"/>
      <c r="B3194" s="4"/>
      <c r="C3194" s="4"/>
      <c r="D3194" s="4"/>
      <c r="E3194" s="4"/>
      <c r="F3194" s="4"/>
      <c r="G3194" s="4"/>
      <c r="H3194" s="4"/>
      <c r="I3194" s="4"/>
      <c r="J3194" s="4"/>
      <c r="K3194" s="4"/>
      <c r="L3194" s="4"/>
      <c r="M3194" s="4"/>
      <c r="N3194" s="4"/>
      <c r="O3194" s="4"/>
      <c r="P3194" s="4"/>
      <c r="Q3194" s="4"/>
      <c r="R3194" s="4"/>
      <c r="S3194" s="4"/>
      <c r="T3194" s="4"/>
      <c r="U3194" s="4"/>
      <c r="V3194" s="4"/>
      <c r="W3194" s="4"/>
      <c r="X3194" s="4"/>
      <c r="Y3194" s="4"/>
      <c r="Z3194" s="4"/>
      <c r="AA3194" s="4"/>
      <c r="AB3194" s="5"/>
    </row>
    <row r="3195" spans="1:28" x14ac:dyDescent="0.35">
      <c r="A3195" s="3"/>
      <c r="B3195" s="4"/>
      <c r="C3195" s="4"/>
      <c r="D3195" s="4"/>
      <c r="E3195" s="4"/>
      <c r="F3195" s="4"/>
      <c r="G3195" s="4"/>
      <c r="H3195" s="4"/>
      <c r="I3195" s="4"/>
      <c r="J3195" s="4"/>
      <c r="K3195" s="4"/>
      <c r="L3195" s="4"/>
      <c r="M3195" s="4"/>
      <c r="N3195" s="4"/>
      <c r="O3195" s="4"/>
      <c r="P3195" s="4"/>
      <c r="Q3195" s="4"/>
      <c r="R3195" s="4"/>
      <c r="S3195" s="4"/>
      <c r="T3195" s="4"/>
      <c r="U3195" s="4"/>
      <c r="V3195" s="4"/>
      <c r="W3195" s="4"/>
      <c r="X3195" s="4"/>
      <c r="Y3195" s="4"/>
      <c r="Z3195" s="4"/>
      <c r="AA3195" s="4"/>
      <c r="AB3195" s="5"/>
    </row>
    <row r="3196" spans="1:28" x14ac:dyDescent="0.35">
      <c r="A3196" s="3"/>
      <c r="B3196" s="4"/>
      <c r="C3196" s="4"/>
      <c r="D3196" s="4"/>
      <c r="E3196" s="4"/>
      <c r="F3196" s="4"/>
      <c r="G3196" s="4"/>
      <c r="H3196" s="4"/>
      <c r="I3196" s="4"/>
      <c r="J3196" s="4"/>
      <c r="K3196" s="4"/>
      <c r="L3196" s="4"/>
      <c r="M3196" s="4"/>
      <c r="N3196" s="4"/>
      <c r="O3196" s="4"/>
      <c r="P3196" s="4"/>
      <c r="Q3196" s="4"/>
      <c r="R3196" s="4"/>
      <c r="S3196" s="4"/>
      <c r="T3196" s="4"/>
      <c r="U3196" s="4"/>
      <c r="V3196" s="4"/>
      <c r="W3196" s="4"/>
      <c r="X3196" s="4"/>
      <c r="Y3196" s="4"/>
      <c r="Z3196" s="4"/>
      <c r="AA3196" s="4"/>
      <c r="AB3196" s="5"/>
    </row>
    <row r="3197" spans="1:28" x14ac:dyDescent="0.35">
      <c r="A3197" s="3"/>
      <c r="B3197" s="4"/>
      <c r="C3197" s="4"/>
      <c r="D3197" s="4"/>
      <c r="E3197" s="4"/>
      <c r="F3197" s="4"/>
      <c r="G3197" s="4"/>
      <c r="H3197" s="4"/>
      <c r="I3197" s="4"/>
      <c r="J3197" s="4"/>
      <c r="K3197" s="4"/>
      <c r="L3197" s="4"/>
      <c r="M3197" s="4"/>
      <c r="N3197" s="4"/>
      <c r="O3197" s="4"/>
      <c r="P3197" s="4"/>
      <c r="Q3197" s="4"/>
      <c r="R3197" s="4"/>
      <c r="S3197" s="4"/>
      <c r="T3197" s="4"/>
      <c r="U3197" s="4"/>
      <c r="V3197" s="4"/>
      <c r="W3197" s="4"/>
      <c r="X3197" s="4"/>
      <c r="Y3197" s="4"/>
      <c r="Z3197" s="4"/>
      <c r="AA3197" s="4"/>
      <c r="AB3197" s="5"/>
    </row>
    <row r="3198" spans="1:28" x14ac:dyDescent="0.35">
      <c r="A3198" s="3"/>
      <c r="B3198" s="4"/>
      <c r="C3198" s="4"/>
      <c r="D3198" s="4"/>
      <c r="E3198" s="4"/>
      <c r="F3198" s="4"/>
      <c r="G3198" s="4"/>
      <c r="H3198" s="4"/>
      <c r="I3198" s="4"/>
      <c r="J3198" s="4"/>
      <c r="K3198" s="4"/>
      <c r="L3198" s="4"/>
      <c r="M3198" s="4"/>
      <c r="N3198" s="4"/>
      <c r="O3198" s="4"/>
      <c r="P3198" s="4"/>
      <c r="Q3198" s="4"/>
      <c r="R3198" s="4"/>
      <c r="S3198" s="4"/>
      <c r="T3198" s="4"/>
      <c r="U3198" s="4"/>
      <c r="V3198" s="4"/>
      <c r="W3198" s="4"/>
      <c r="X3198" s="4"/>
      <c r="Y3198" s="4"/>
      <c r="Z3198" s="4"/>
      <c r="AA3198" s="4"/>
      <c r="AB3198" s="5"/>
    </row>
    <row r="3199" spans="1:28" x14ac:dyDescent="0.35">
      <c r="A3199" s="3"/>
      <c r="B3199" s="4"/>
      <c r="C3199" s="4"/>
      <c r="D3199" s="4"/>
      <c r="E3199" s="4"/>
      <c r="F3199" s="4"/>
      <c r="G3199" s="4"/>
      <c r="H3199" s="4"/>
      <c r="I3199" s="4"/>
      <c r="J3199" s="4"/>
      <c r="K3199" s="4"/>
      <c r="L3199" s="4"/>
      <c r="M3199" s="4"/>
      <c r="N3199" s="4"/>
      <c r="O3199" s="4"/>
      <c r="P3199" s="4"/>
      <c r="Q3199" s="4"/>
      <c r="R3199" s="4"/>
      <c r="S3199" s="4"/>
      <c r="T3199" s="4"/>
      <c r="U3199" s="4"/>
      <c r="V3199" s="4"/>
      <c r="W3199" s="4"/>
      <c r="X3199" s="4"/>
      <c r="Y3199" s="4"/>
      <c r="Z3199" s="4"/>
      <c r="AA3199" s="4"/>
      <c r="AB3199" s="5"/>
    </row>
    <row r="3200" spans="1:28" x14ac:dyDescent="0.35">
      <c r="A3200" s="3"/>
      <c r="B3200" s="4"/>
      <c r="C3200" s="4"/>
      <c r="D3200" s="4"/>
      <c r="E3200" s="4"/>
      <c r="F3200" s="4"/>
      <c r="G3200" s="4"/>
      <c r="H3200" s="4"/>
      <c r="I3200" s="4"/>
      <c r="J3200" s="4"/>
      <c r="K3200" s="4"/>
      <c r="L3200" s="4"/>
      <c r="M3200" s="4"/>
      <c r="N3200" s="4"/>
      <c r="O3200" s="4"/>
      <c r="P3200" s="4"/>
      <c r="Q3200" s="4"/>
      <c r="R3200" s="4"/>
      <c r="S3200" s="4"/>
      <c r="T3200" s="4"/>
      <c r="U3200" s="4"/>
      <c r="V3200" s="4"/>
      <c r="W3200" s="4"/>
      <c r="X3200" s="4"/>
      <c r="Y3200" s="4"/>
      <c r="Z3200" s="4"/>
      <c r="AA3200" s="4"/>
      <c r="AB3200" s="5"/>
    </row>
    <row r="3201" spans="1:28" x14ac:dyDescent="0.35">
      <c r="A3201" s="3"/>
      <c r="B3201" s="4"/>
      <c r="C3201" s="4"/>
      <c r="D3201" s="4"/>
      <c r="E3201" s="4"/>
      <c r="F3201" s="4"/>
      <c r="G3201" s="4"/>
      <c r="H3201" s="4"/>
      <c r="I3201" s="4"/>
      <c r="J3201" s="4"/>
      <c r="K3201" s="4"/>
      <c r="L3201" s="4"/>
      <c r="M3201" s="4"/>
      <c r="N3201" s="4"/>
      <c r="O3201" s="4"/>
      <c r="P3201" s="4"/>
      <c r="Q3201" s="4"/>
      <c r="R3201" s="4"/>
      <c r="S3201" s="4"/>
      <c r="T3201" s="4"/>
      <c r="U3201" s="4"/>
      <c r="V3201" s="4"/>
      <c r="W3201" s="4"/>
      <c r="X3201" s="4"/>
      <c r="Y3201" s="4"/>
      <c r="Z3201" s="4"/>
      <c r="AA3201" s="4"/>
      <c r="AB3201" s="5"/>
    </row>
    <row r="3202" spans="1:28" x14ac:dyDescent="0.35">
      <c r="A3202" s="3"/>
      <c r="B3202" s="4"/>
      <c r="C3202" s="4"/>
      <c r="D3202" s="4"/>
      <c r="E3202" s="4"/>
      <c r="F3202" s="4"/>
      <c r="G3202" s="4"/>
      <c r="H3202" s="4"/>
      <c r="I3202" s="4"/>
      <c r="J3202" s="4"/>
      <c r="K3202" s="4"/>
      <c r="L3202" s="4"/>
      <c r="M3202" s="4"/>
      <c r="N3202" s="4"/>
      <c r="O3202" s="4"/>
      <c r="P3202" s="4"/>
      <c r="Q3202" s="4"/>
      <c r="R3202" s="4"/>
      <c r="S3202" s="4"/>
      <c r="T3202" s="4"/>
      <c r="U3202" s="4"/>
      <c r="V3202" s="4"/>
      <c r="W3202" s="4"/>
      <c r="X3202" s="4"/>
      <c r="Y3202" s="4"/>
      <c r="Z3202" s="4"/>
      <c r="AA3202" s="4"/>
      <c r="AB3202" s="5"/>
    </row>
    <row r="3203" spans="1:28" x14ac:dyDescent="0.35">
      <c r="A3203" s="3"/>
      <c r="B3203" s="4"/>
      <c r="C3203" s="4"/>
      <c r="D3203" s="4"/>
      <c r="E3203" s="4"/>
      <c r="F3203" s="4"/>
      <c r="G3203" s="4"/>
      <c r="H3203" s="4"/>
      <c r="I3203" s="4"/>
      <c r="J3203" s="4"/>
      <c r="K3203" s="4"/>
      <c r="L3203" s="4"/>
      <c r="M3203" s="4"/>
      <c r="N3203" s="4"/>
      <c r="O3203" s="4"/>
      <c r="P3203" s="4"/>
      <c r="Q3203" s="4"/>
      <c r="R3203" s="4"/>
      <c r="S3203" s="4"/>
      <c r="T3203" s="4"/>
      <c r="U3203" s="4"/>
      <c r="V3203" s="4"/>
      <c r="W3203" s="4"/>
      <c r="X3203" s="4"/>
      <c r="Y3203" s="4"/>
      <c r="Z3203" s="4"/>
      <c r="AA3203" s="4"/>
      <c r="AB3203" s="5"/>
    </row>
    <row r="3204" spans="1:28" x14ac:dyDescent="0.35">
      <c r="A3204" s="3"/>
      <c r="B3204" s="4"/>
      <c r="C3204" s="4"/>
      <c r="D3204" s="4"/>
      <c r="E3204" s="4"/>
      <c r="F3204" s="4"/>
      <c r="G3204" s="4"/>
      <c r="H3204" s="4"/>
      <c r="I3204" s="4"/>
      <c r="J3204" s="4"/>
      <c r="K3204" s="4"/>
      <c r="L3204" s="4"/>
      <c r="M3204" s="4"/>
      <c r="N3204" s="4"/>
      <c r="O3204" s="4"/>
      <c r="P3204" s="4"/>
      <c r="Q3204" s="4"/>
      <c r="R3204" s="4"/>
      <c r="S3204" s="4"/>
      <c r="T3204" s="4"/>
      <c r="U3204" s="4"/>
      <c r="V3204" s="4"/>
      <c r="W3204" s="4"/>
      <c r="X3204" s="4"/>
      <c r="Y3204" s="4"/>
      <c r="Z3204" s="4"/>
      <c r="AA3204" s="4"/>
      <c r="AB3204" s="5"/>
    </row>
    <row r="3205" spans="1:28" x14ac:dyDescent="0.35">
      <c r="A3205" s="3"/>
      <c r="B3205" s="4"/>
      <c r="C3205" s="4"/>
      <c r="D3205" s="4"/>
      <c r="E3205" s="4"/>
      <c r="F3205" s="4"/>
      <c r="G3205" s="4"/>
      <c r="H3205" s="4"/>
      <c r="I3205" s="4"/>
      <c r="J3205" s="4"/>
      <c r="K3205" s="4"/>
      <c r="L3205" s="4"/>
      <c r="M3205" s="4"/>
      <c r="N3205" s="4"/>
      <c r="O3205" s="4"/>
      <c r="P3205" s="4"/>
      <c r="Q3205" s="4"/>
      <c r="R3205" s="4"/>
      <c r="S3205" s="4"/>
      <c r="T3205" s="4"/>
      <c r="U3205" s="4"/>
      <c r="V3205" s="4"/>
      <c r="W3205" s="4"/>
      <c r="X3205" s="4"/>
      <c r="Y3205" s="4"/>
      <c r="Z3205" s="4"/>
      <c r="AA3205" s="4"/>
      <c r="AB3205" s="5"/>
    </row>
    <row r="3206" spans="1:28" x14ac:dyDescent="0.35">
      <c r="A3206" s="3"/>
      <c r="B3206" s="4"/>
      <c r="C3206" s="4"/>
      <c r="D3206" s="4"/>
      <c r="E3206" s="4"/>
      <c r="F3206" s="4"/>
      <c r="G3206" s="4"/>
      <c r="H3206" s="4"/>
      <c r="I3206" s="4"/>
      <c r="J3206" s="4"/>
      <c r="K3206" s="4"/>
      <c r="L3206" s="4"/>
      <c r="M3206" s="4"/>
      <c r="N3206" s="4"/>
      <c r="O3206" s="4"/>
      <c r="P3206" s="4"/>
      <c r="Q3206" s="4"/>
      <c r="R3206" s="4"/>
      <c r="S3206" s="4"/>
      <c r="T3206" s="4"/>
      <c r="U3206" s="4"/>
      <c r="V3206" s="4"/>
      <c r="W3206" s="4"/>
      <c r="X3206" s="4"/>
      <c r="Y3206" s="4"/>
      <c r="Z3206" s="4"/>
      <c r="AA3206" s="4"/>
      <c r="AB3206" s="5"/>
    </row>
    <row r="3207" spans="1:28" x14ac:dyDescent="0.35">
      <c r="A3207" s="3"/>
      <c r="B3207" s="4"/>
      <c r="C3207" s="4"/>
      <c r="D3207" s="4"/>
      <c r="E3207" s="4"/>
      <c r="F3207" s="4"/>
      <c r="G3207" s="4"/>
      <c r="H3207" s="4"/>
      <c r="I3207" s="4"/>
      <c r="J3207" s="4"/>
      <c r="K3207" s="4"/>
      <c r="L3207" s="4"/>
      <c r="M3207" s="4"/>
      <c r="N3207" s="4"/>
      <c r="O3207" s="4"/>
      <c r="P3207" s="4"/>
      <c r="Q3207" s="4"/>
      <c r="R3207" s="4"/>
      <c r="S3207" s="4"/>
      <c r="T3207" s="4"/>
      <c r="U3207" s="4"/>
      <c r="V3207" s="4"/>
      <c r="W3207" s="4"/>
      <c r="X3207" s="4"/>
      <c r="Y3207" s="4"/>
      <c r="Z3207" s="4"/>
      <c r="AA3207" s="4"/>
      <c r="AB3207" s="5"/>
    </row>
    <row r="3208" spans="1:28" x14ac:dyDescent="0.35">
      <c r="A3208" s="3"/>
      <c r="B3208" s="4"/>
      <c r="C3208" s="4"/>
      <c r="D3208" s="4"/>
      <c r="E3208" s="4"/>
      <c r="F3208" s="4"/>
      <c r="G3208" s="4"/>
      <c r="H3208" s="4"/>
      <c r="I3208" s="4"/>
      <c r="J3208" s="4"/>
      <c r="K3208" s="4"/>
      <c r="L3208" s="4"/>
      <c r="M3208" s="4"/>
      <c r="N3208" s="4"/>
      <c r="O3208" s="4"/>
      <c r="P3208" s="4"/>
      <c r="Q3208" s="4"/>
      <c r="R3208" s="4"/>
      <c r="S3208" s="4"/>
      <c r="T3208" s="4"/>
      <c r="U3208" s="4"/>
      <c r="V3208" s="4"/>
      <c r="W3208" s="4"/>
      <c r="X3208" s="4"/>
      <c r="Y3208" s="4"/>
      <c r="Z3208" s="4"/>
      <c r="AA3208" s="4"/>
      <c r="AB3208" s="5"/>
    </row>
    <row r="3209" spans="1:28" x14ac:dyDescent="0.35">
      <c r="A3209" s="3"/>
      <c r="B3209" s="4"/>
      <c r="C3209" s="4"/>
      <c r="D3209" s="4"/>
      <c r="E3209" s="4"/>
      <c r="F3209" s="4"/>
      <c r="G3209" s="4"/>
      <c r="H3209" s="4"/>
      <c r="I3209" s="4"/>
      <c r="J3209" s="4"/>
      <c r="K3209" s="4"/>
      <c r="L3209" s="4"/>
      <c r="M3209" s="4"/>
      <c r="N3209" s="4"/>
      <c r="O3209" s="4"/>
      <c r="P3209" s="4"/>
      <c r="Q3209" s="4"/>
      <c r="R3209" s="4"/>
      <c r="S3209" s="4"/>
      <c r="T3209" s="4"/>
      <c r="U3209" s="4"/>
      <c r="V3209" s="4"/>
      <c r="W3209" s="4"/>
      <c r="X3209" s="4"/>
      <c r="Y3209" s="4"/>
      <c r="Z3209" s="4"/>
      <c r="AA3209" s="4"/>
      <c r="AB3209" s="5"/>
    </row>
    <row r="3210" spans="1:28" x14ac:dyDescent="0.35">
      <c r="A3210" s="3"/>
      <c r="B3210" s="4"/>
      <c r="C3210" s="4"/>
      <c r="D3210" s="4"/>
      <c r="E3210" s="4"/>
      <c r="F3210" s="4"/>
      <c r="G3210" s="4"/>
      <c r="H3210" s="4"/>
      <c r="I3210" s="4"/>
      <c r="J3210" s="4"/>
      <c r="K3210" s="4"/>
      <c r="L3210" s="4"/>
      <c r="M3210" s="4"/>
      <c r="N3210" s="4"/>
      <c r="O3210" s="4"/>
      <c r="P3210" s="4"/>
      <c r="Q3210" s="4"/>
      <c r="R3210" s="4"/>
      <c r="S3210" s="4"/>
      <c r="T3210" s="4"/>
      <c r="U3210" s="4"/>
      <c r="V3210" s="4"/>
      <c r="W3210" s="4"/>
      <c r="X3210" s="4"/>
      <c r="Y3210" s="4"/>
      <c r="Z3210" s="4"/>
      <c r="AA3210" s="4"/>
      <c r="AB3210" s="5"/>
    </row>
    <row r="3211" spans="1:28" x14ac:dyDescent="0.35">
      <c r="A3211" s="3"/>
      <c r="B3211" s="4"/>
      <c r="C3211" s="4"/>
      <c r="D3211" s="4"/>
      <c r="E3211" s="4"/>
      <c r="F3211" s="4"/>
      <c r="G3211" s="4"/>
      <c r="H3211" s="4"/>
      <c r="I3211" s="4"/>
      <c r="J3211" s="4"/>
      <c r="K3211" s="4"/>
      <c r="L3211" s="4"/>
      <c r="M3211" s="4"/>
      <c r="N3211" s="4"/>
      <c r="O3211" s="4"/>
      <c r="P3211" s="4"/>
      <c r="Q3211" s="4"/>
      <c r="R3211" s="4"/>
      <c r="S3211" s="4"/>
      <c r="T3211" s="4"/>
      <c r="U3211" s="4"/>
      <c r="V3211" s="4"/>
      <c r="W3211" s="4"/>
      <c r="X3211" s="4"/>
      <c r="Y3211" s="4"/>
      <c r="Z3211" s="4"/>
      <c r="AA3211" s="4"/>
      <c r="AB3211" s="5"/>
    </row>
    <row r="3212" spans="1:28" x14ac:dyDescent="0.35">
      <c r="A3212" s="3"/>
      <c r="B3212" s="4"/>
      <c r="C3212" s="4"/>
      <c r="D3212" s="4"/>
      <c r="E3212" s="4"/>
      <c r="F3212" s="4"/>
      <c r="G3212" s="4"/>
      <c r="H3212" s="4"/>
      <c r="I3212" s="4"/>
      <c r="J3212" s="4"/>
      <c r="K3212" s="4"/>
      <c r="L3212" s="4"/>
      <c r="M3212" s="4"/>
      <c r="N3212" s="4"/>
      <c r="O3212" s="4"/>
      <c r="P3212" s="4"/>
      <c r="Q3212" s="4"/>
      <c r="R3212" s="4"/>
      <c r="S3212" s="4"/>
      <c r="T3212" s="4"/>
      <c r="U3212" s="4"/>
      <c r="V3212" s="4"/>
      <c r="W3212" s="4"/>
      <c r="X3212" s="4"/>
      <c r="Y3212" s="4"/>
      <c r="Z3212" s="4"/>
      <c r="AA3212" s="4"/>
      <c r="AB3212" s="5"/>
    </row>
    <row r="3213" spans="1:28" x14ac:dyDescent="0.35">
      <c r="A3213" s="3"/>
      <c r="B3213" s="4"/>
      <c r="C3213" s="4"/>
      <c r="D3213" s="4"/>
      <c r="E3213" s="4"/>
      <c r="F3213" s="4"/>
      <c r="G3213" s="4"/>
      <c r="H3213" s="4"/>
      <c r="I3213" s="4"/>
      <c r="J3213" s="4"/>
      <c r="K3213" s="4"/>
      <c r="L3213" s="4"/>
      <c r="M3213" s="4"/>
      <c r="N3213" s="4"/>
      <c r="O3213" s="4"/>
      <c r="P3213" s="4"/>
      <c r="Q3213" s="4"/>
      <c r="R3213" s="4"/>
      <c r="S3213" s="4"/>
      <c r="T3213" s="4"/>
      <c r="U3213" s="4"/>
      <c r="V3213" s="4"/>
      <c r="W3213" s="4"/>
      <c r="X3213" s="4"/>
      <c r="Y3213" s="4"/>
      <c r="Z3213" s="4"/>
      <c r="AA3213" s="4"/>
      <c r="AB3213" s="5"/>
    </row>
    <row r="3214" spans="1:28" x14ac:dyDescent="0.35">
      <c r="A3214" s="3"/>
      <c r="B3214" s="4"/>
      <c r="C3214" s="4"/>
      <c r="D3214" s="4"/>
      <c r="E3214" s="4"/>
      <c r="F3214" s="4"/>
      <c r="G3214" s="4"/>
      <c r="H3214" s="4"/>
      <c r="I3214" s="4"/>
      <c r="J3214" s="4"/>
      <c r="K3214" s="4"/>
      <c r="L3214" s="4"/>
      <c r="M3214" s="4"/>
      <c r="N3214" s="4"/>
      <c r="O3214" s="4"/>
      <c r="P3214" s="4"/>
      <c r="Q3214" s="4"/>
      <c r="R3214" s="4"/>
      <c r="S3214" s="4"/>
      <c r="T3214" s="4"/>
      <c r="U3214" s="4"/>
      <c r="V3214" s="4"/>
      <c r="W3214" s="4"/>
      <c r="X3214" s="4"/>
      <c r="Y3214" s="4"/>
      <c r="Z3214" s="4"/>
      <c r="AA3214" s="4"/>
      <c r="AB3214" s="5"/>
    </row>
    <row r="3215" spans="1:28" x14ac:dyDescent="0.35">
      <c r="A3215" s="3"/>
      <c r="B3215" s="4"/>
      <c r="C3215" s="4"/>
      <c r="D3215" s="4"/>
      <c r="E3215" s="4"/>
      <c r="F3215" s="4"/>
      <c r="G3215" s="4"/>
      <c r="H3215" s="4"/>
      <c r="I3215" s="4"/>
      <c r="J3215" s="4"/>
      <c r="K3215" s="4"/>
      <c r="L3215" s="4"/>
      <c r="M3215" s="4"/>
      <c r="N3215" s="4"/>
      <c r="O3215" s="4"/>
      <c r="P3215" s="4"/>
      <c r="Q3215" s="4"/>
      <c r="R3215" s="4"/>
      <c r="S3215" s="4"/>
      <c r="T3215" s="4"/>
      <c r="U3215" s="4"/>
      <c r="V3215" s="4"/>
      <c r="W3215" s="4"/>
      <c r="X3215" s="4"/>
      <c r="Y3215" s="4"/>
      <c r="Z3215" s="4"/>
      <c r="AA3215" s="4"/>
      <c r="AB3215" s="5"/>
    </row>
    <row r="3216" spans="1:28" x14ac:dyDescent="0.35">
      <c r="A3216" s="3"/>
      <c r="B3216" s="4"/>
      <c r="C3216" s="4"/>
      <c r="D3216" s="4"/>
      <c r="E3216" s="4"/>
      <c r="F3216" s="4"/>
      <c r="G3216" s="4"/>
      <c r="H3216" s="4"/>
      <c r="I3216" s="4"/>
      <c r="J3216" s="4"/>
      <c r="K3216" s="4"/>
      <c r="L3216" s="4"/>
      <c r="M3216" s="4"/>
      <c r="N3216" s="4"/>
      <c r="O3216" s="4"/>
      <c r="P3216" s="4"/>
      <c r="Q3216" s="4"/>
      <c r="R3216" s="4"/>
      <c r="S3216" s="4"/>
      <c r="T3216" s="4"/>
      <c r="U3216" s="4"/>
      <c r="V3216" s="4"/>
      <c r="W3216" s="4"/>
      <c r="X3216" s="4"/>
      <c r="Y3216" s="4"/>
      <c r="Z3216" s="4"/>
      <c r="AA3216" s="4"/>
      <c r="AB3216" s="5"/>
    </row>
    <row r="3217" spans="1:28" x14ac:dyDescent="0.35">
      <c r="A3217" s="3"/>
      <c r="B3217" s="4"/>
      <c r="C3217" s="4"/>
      <c r="D3217" s="4"/>
      <c r="E3217" s="4"/>
      <c r="F3217" s="4"/>
      <c r="G3217" s="4"/>
      <c r="H3217" s="4"/>
      <c r="I3217" s="4"/>
      <c r="J3217" s="4"/>
      <c r="K3217" s="4"/>
      <c r="L3217" s="4"/>
      <c r="M3217" s="4"/>
      <c r="N3217" s="4"/>
      <c r="O3217" s="4"/>
      <c r="P3217" s="4"/>
      <c r="Q3217" s="4"/>
      <c r="R3217" s="4"/>
      <c r="S3217" s="4"/>
      <c r="T3217" s="4"/>
      <c r="U3217" s="4"/>
      <c r="V3217" s="4"/>
      <c r="W3217" s="4"/>
      <c r="X3217" s="4"/>
      <c r="Y3217" s="4"/>
      <c r="Z3217" s="4"/>
      <c r="AA3217" s="4"/>
      <c r="AB3217" s="5"/>
    </row>
    <row r="3218" spans="1:28" x14ac:dyDescent="0.35">
      <c r="A3218" s="3"/>
      <c r="B3218" s="4"/>
      <c r="C3218" s="4"/>
      <c r="D3218" s="4"/>
      <c r="E3218" s="4"/>
      <c r="F3218" s="4"/>
      <c r="G3218" s="4"/>
      <c r="H3218" s="4"/>
      <c r="I3218" s="4"/>
      <c r="J3218" s="4"/>
      <c r="K3218" s="4"/>
      <c r="L3218" s="4"/>
      <c r="M3218" s="4"/>
      <c r="N3218" s="4"/>
      <c r="O3218" s="4"/>
      <c r="P3218" s="4"/>
      <c r="Q3218" s="4"/>
      <c r="R3218" s="4"/>
      <c r="S3218" s="4"/>
      <c r="T3218" s="4"/>
      <c r="U3218" s="4"/>
      <c r="V3218" s="4"/>
      <c r="W3218" s="4"/>
      <c r="X3218" s="4"/>
      <c r="Y3218" s="4"/>
      <c r="Z3218" s="4"/>
      <c r="AA3218" s="4"/>
      <c r="AB3218" s="5"/>
    </row>
    <row r="3219" spans="1:28" x14ac:dyDescent="0.35">
      <c r="A3219" s="3"/>
      <c r="B3219" s="4"/>
      <c r="C3219" s="4"/>
      <c r="D3219" s="4"/>
      <c r="E3219" s="4"/>
      <c r="F3219" s="4"/>
      <c r="G3219" s="4"/>
      <c r="H3219" s="4"/>
      <c r="I3219" s="4"/>
      <c r="J3219" s="4"/>
      <c r="K3219" s="4"/>
      <c r="L3219" s="4"/>
      <c r="M3219" s="4"/>
      <c r="N3219" s="4"/>
      <c r="O3219" s="4"/>
      <c r="P3219" s="4"/>
      <c r="Q3219" s="4"/>
      <c r="R3219" s="4"/>
      <c r="S3219" s="4"/>
      <c r="T3219" s="4"/>
      <c r="U3219" s="4"/>
      <c r="V3219" s="4"/>
      <c r="W3219" s="4"/>
      <c r="X3219" s="4"/>
      <c r="Y3219" s="4"/>
      <c r="Z3219" s="4"/>
      <c r="AA3219" s="4"/>
      <c r="AB3219" s="5"/>
    </row>
    <row r="3220" spans="1:28" x14ac:dyDescent="0.35">
      <c r="A3220" s="3"/>
      <c r="B3220" s="4"/>
      <c r="C3220" s="4"/>
      <c r="D3220" s="4"/>
      <c r="E3220" s="4"/>
      <c r="F3220" s="4"/>
      <c r="G3220" s="4"/>
      <c r="H3220" s="4"/>
      <c r="I3220" s="4"/>
      <c r="J3220" s="4"/>
      <c r="K3220" s="4"/>
      <c r="L3220" s="4"/>
      <c r="M3220" s="4"/>
      <c r="N3220" s="4"/>
      <c r="O3220" s="4"/>
      <c r="P3220" s="4"/>
      <c r="Q3220" s="4"/>
      <c r="R3220" s="4"/>
      <c r="S3220" s="4"/>
      <c r="T3220" s="4"/>
      <c r="U3220" s="4"/>
      <c r="V3220" s="4"/>
      <c r="W3220" s="4"/>
      <c r="X3220" s="4"/>
      <c r="Y3220" s="4"/>
      <c r="Z3220" s="4"/>
      <c r="AA3220" s="4"/>
      <c r="AB3220" s="5"/>
    </row>
    <row r="3221" spans="1:28" x14ac:dyDescent="0.35">
      <c r="A3221" s="3"/>
      <c r="B3221" s="4"/>
      <c r="C3221" s="4"/>
      <c r="D3221" s="4"/>
      <c r="E3221" s="4"/>
      <c r="F3221" s="4"/>
      <c r="G3221" s="4"/>
      <c r="H3221" s="4"/>
      <c r="I3221" s="4"/>
      <c r="J3221" s="4"/>
      <c r="K3221" s="4"/>
      <c r="L3221" s="4"/>
      <c r="M3221" s="4"/>
      <c r="N3221" s="4"/>
      <c r="O3221" s="4"/>
      <c r="P3221" s="4"/>
      <c r="Q3221" s="4"/>
      <c r="R3221" s="4"/>
      <c r="S3221" s="4"/>
      <c r="T3221" s="4"/>
      <c r="U3221" s="4"/>
      <c r="V3221" s="4"/>
      <c r="W3221" s="4"/>
      <c r="X3221" s="4"/>
      <c r="Y3221" s="4"/>
      <c r="Z3221" s="4"/>
      <c r="AA3221" s="4"/>
      <c r="AB3221" s="5"/>
    </row>
    <row r="3222" spans="1:28" x14ac:dyDescent="0.35">
      <c r="A3222" s="3"/>
      <c r="B3222" s="4"/>
      <c r="C3222" s="4"/>
      <c r="D3222" s="4"/>
      <c r="E3222" s="4"/>
      <c r="F3222" s="4"/>
      <c r="G3222" s="4"/>
      <c r="H3222" s="4"/>
      <c r="I3222" s="4"/>
      <c r="J3222" s="4"/>
      <c r="K3222" s="4"/>
      <c r="L3222" s="4"/>
      <c r="M3222" s="4"/>
      <c r="N3222" s="4"/>
      <c r="O3222" s="4"/>
      <c r="P3222" s="4"/>
      <c r="Q3222" s="4"/>
      <c r="R3222" s="4"/>
      <c r="S3222" s="4"/>
      <c r="T3222" s="4"/>
      <c r="U3222" s="4"/>
      <c r="V3222" s="4"/>
      <c r="W3222" s="4"/>
      <c r="X3222" s="4"/>
      <c r="Y3222" s="4"/>
      <c r="Z3222" s="4"/>
      <c r="AA3222" s="4"/>
      <c r="AB3222" s="5"/>
    </row>
    <row r="3223" spans="1:28" x14ac:dyDescent="0.35">
      <c r="A3223" s="3"/>
      <c r="B3223" s="4"/>
      <c r="C3223" s="4"/>
      <c r="D3223" s="4"/>
      <c r="E3223" s="4"/>
      <c r="F3223" s="4"/>
      <c r="G3223" s="4"/>
      <c r="H3223" s="4"/>
      <c r="I3223" s="4"/>
      <c r="J3223" s="4"/>
      <c r="K3223" s="4"/>
      <c r="L3223" s="4"/>
      <c r="M3223" s="4"/>
      <c r="N3223" s="4"/>
      <c r="O3223" s="4"/>
      <c r="P3223" s="4"/>
      <c r="Q3223" s="4"/>
      <c r="R3223" s="4"/>
      <c r="S3223" s="4"/>
      <c r="T3223" s="4"/>
      <c r="U3223" s="4"/>
      <c r="V3223" s="4"/>
      <c r="W3223" s="4"/>
      <c r="X3223" s="4"/>
      <c r="Y3223" s="4"/>
      <c r="Z3223" s="4"/>
      <c r="AA3223" s="4"/>
      <c r="AB3223" s="5"/>
    </row>
    <row r="3224" spans="1:28" x14ac:dyDescent="0.35">
      <c r="A3224" s="3"/>
      <c r="B3224" s="4"/>
      <c r="C3224" s="4"/>
      <c r="D3224" s="4"/>
      <c r="E3224" s="4"/>
      <c r="F3224" s="4"/>
      <c r="G3224" s="4"/>
      <c r="H3224" s="4"/>
      <c r="I3224" s="4"/>
      <c r="J3224" s="4"/>
      <c r="K3224" s="4"/>
      <c r="L3224" s="4"/>
      <c r="M3224" s="4"/>
      <c r="N3224" s="4"/>
      <c r="O3224" s="4"/>
      <c r="P3224" s="4"/>
      <c r="Q3224" s="4"/>
      <c r="R3224" s="4"/>
      <c r="S3224" s="4"/>
      <c r="T3224" s="4"/>
      <c r="U3224" s="4"/>
      <c r="V3224" s="4"/>
      <c r="W3224" s="4"/>
      <c r="X3224" s="4"/>
      <c r="Y3224" s="4"/>
      <c r="Z3224" s="4"/>
      <c r="AA3224" s="4"/>
      <c r="AB3224" s="5"/>
    </row>
    <row r="3225" spans="1:28" x14ac:dyDescent="0.35">
      <c r="A3225" s="3"/>
      <c r="B3225" s="4"/>
      <c r="C3225" s="4"/>
      <c r="D3225" s="4"/>
      <c r="E3225" s="4"/>
      <c r="F3225" s="4"/>
      <c r="G3225" s="4"/>
      <c r="H3225" s="4"/>
      <c r="I3225" s="4"/>
      <c r="J3225" s="4"/>
      <c r="K3225" s="4"/>
      <c r="L3225" s="4"/>
      <c r="M3225" s="4"/>
      <c r="N3225" s="4"/>
      <c r="O3225" s="4"/>
      <c r="P3225" s="4"/>
      <c r="Q3225" s="4"/>
      <c r="R3225" s="4"/>
      <c r="S3225" s="4"/>
      <c r="T3225" s="4"/>
      <c r="U3225" s="4"/>
      <c r="V3225" s="4"/>
      <c r="W3225" s="4"/>
      <c r="X3225" s="4"/>
      <c r="Y3225" s="4"/>
      <c r="Z3225" s="4"/>
      <c r="AA3225" s="4"/>
      <c r="AB3225" s="5"/>
    </row>
    <row r="3226" spans="1:28" x14ac:dyDescent="0.35">
      <c r="A3226" s="3"/>
      <c r="B3226" s="4"/>
      <c r="C3226" s="4"/>
      <c r="D3226" s="4"/>
      <c r="E3226" s="4"/>
      <c r="F3226" s="4"/>
      <c r="G3226" s="4"/>
      <c r="H3226" s="4"/>
      <c r="I3226" s="4"/>
      <c r="J3226" s="4"/>
      <c r="K3226" s="4"/>
      <c r="L3226" s="4"/>
      <c r="M3226" s="4"/>
      <c r="N3226" s="4"/>
      <c r="O3226" s="4"/>
      <c r="P3226" s="4"/>
      <c r="Q3226" s="4"/>
      <c r="R3226" s="4"/>
      <c r="S3226" s="4"/>
      <c r="T3226" s="4"/>
      <c r="U3226" s="4"/>
      <c r="V3226" s="4"/>
      <c r="W3226" s="4"/>
      <c r="X3226" s="4"/>
      <c r="Y3226" s="4"/>
      <c r="Z3226" s="4"/>
      <c r="AA3226" s="4"/>
      <c r="AB3226" s="5"/>
    </row>
    <row r="3227" spans="1:28" x14ac:dyDescent="0.35">
      <c r="A3227" s="3"/>
      <c r="B3227" s="4"/>
      <c r="C3227" s="4"/>
      <c r="D3227" s="4"/>
      <c r="E3227" s="4"/>
      <c r="F3227" s="4"/>
      <c r="G3227" s="4"/>
      <c r="H3227" s="4"/>
      <c r="I3227" s="4"/>
      <c r="J3227" s="4"/>
      <c r="K3227" s="4"/>
      <c r="L3227" s="4"/>
      <c r="M3227" s="4"/>
      <c r="N3227" s="4"/>
      <c r="O3227" s="4"/>
      <c r="P3227" s="4"/>
      <c r="Q3227" s="4"/>
      <c r="R3227" s="4"/>
      <c r="S3227" s="4"/>
      <c r="T3227" s="4"/>
      <c r="U3227" s="4"/>
      <c r="V3227" s="4"/>
      <c r="W3227" s="4"/>
      <c r="X3227" s="4"/>
      <c r="Y3227" s="4"/>
      <c r="Z3227" s="4"/>
      <c r="AA3227" s="4"/>
      <c r="AB3227" s="5"/>
    </row>
    <row r="3228" spans="1:28" x14ac:dyDescent="0.35">
      <c r="A3228" s="3"/>
      <c r="B3228" s="4"/>
      <c r="C3228" s="4"/>
      <c r="D3228" s="4"/>
      <c r="E3228" s="4"/>
      <c r="F3228" s="4"/>
      <c r="G3228" s="4"/>
      <c r="H3228" s="4"/>
      <c r="I3228" s="4"/>
      <c r="J3228" s="4"/>
      <c r="K3228" s="4"/>
      <c r="L3228" s="4"/>
      <c r="M3228" s="4"/>
      <c r="N3228" s="4"/>
      <c r="O3228" s="4"/>
      <c r="P3228" s="4"/>
      <c r="Q3228" s="4"/>
      <c r="R3228" s="4"/>
      <c r="S3228" s="4"/>
      <c r="T3228" s="4"/>
      <c r="U3228" s="4"/>
      <c r="V3228" s="4"/>
      <c r="W3228" s="4"/>
      <c r="X3228" s="4"/>
      <c r="Y3228" s="4"/>
      <c r="Z3228" s="4"/>
      <c r="AA3228" s="4"/>
      <c r="AB3228" s="5"/>
    </row>
    <row r="3229" spans="1:28" x14ac:dyDescent="0.35">
      <c r="A3229" s="3"/>
      <c r="B3229" s="4"/>
      <c r="C3229" s="4"/>
      <c r="D3229" s="4"/>
      <c r="E3229" s="4"/>
      <c r="F3229" s="4"/>
      <c r="G3229" s="4"/>
      <c r="H3229" s="4"/>
      <c r="I3229" s="4"/>
      <c r="J3229" s="4"/>
      <c r="K3229" s="4"/>
      <c r="L3229" s="4"/>
      <c r="M3229" s="4"/>
      <c r="N3229" s="4"/>
      <c r="O3229" s="4"/>
      <c r="P3229" s="4"/>
      <c r="Q3229" s="4"/>
      <c r="R3229" s="4"/>
      <c r="S3229" s="4"/>
      <c r="T3229" s="4"/>
      <c r="U3229" s="4"/>
      <c r="V3229" s="4"/>
      <c r="W3229" s="4"/>
      <c r="X3229" s="4"/>
      <c r="Y3229" s="4"/>
      <c r="Z3229" s="4"/>
      <c r="AA3229" s="4"/>
      <c r="AB3229" s="5"/>
    </row>
    <row r="3230" spans="1:28" x14ac:dyDescent="0.35">
      <c r="A3230" s="3"/>
      <c r="B3230" s="4"/>
      <c r="C3230" s="4"/>
      <c r="D3230" s="4"/>
      <c r="E3230" s="4"/>
      <c r="F3230" s="4"/>
      <c r="G3230" s="4"/>
      <c r="H3230" s="4"/>
      <c r="I3230" s="4"/>
      <c r="J3230" s="4"/>
      <c r="K3230" s="4"/>
      <c r="L3230" s="4"/>
      <c r="M3230" s="4"/>
      <c r="N3230" s="4"/>
      <c r="O3230" s="4"/>
      <c r="P3230" s="4"/>
      <c r="Q3230" s="4"/>
      <c r="R3230" s="4"/>
      <c r="S3230" s="4"/>
      <c r="T3230" s="4"/>
      <c r="U3230" s="4"/>
      <c r="V3230" s="4"/>
      <c r="W3230" s="4"/>
      <c r="X3230" s="4"/>
      <c r="Y3230" s="4"/>
      <c r="Z3230" s="4"/>
      <c r="AA3230" s="4"/>
      <c r="AB3230" s="5"/>
    </row>
    <row r="3231" spans="1:28" x14ac:dyDescent="0.35">
      <c r="A3231" s="3"/>
      <c r="B3231" s="4"/>
      <c r="C3231" s="4"/>
      <c r="D3231" s="4"/>
      <c r="E3231" s="4"/>
      <c r="F3231" s="4"/>
      <c r="G3231" s="4"/>
      <c r="H3231" s="4"/>
      <c r="I3231" s="4"/>
      <c r="J3231" s="4"/>
      <c r="K3231" s="4"/>
      <c r="L3231" s="4"/>
      <c r="M3231" s="4"/>
      <c r="N3231" s="4"/>
      <c r="O3231" s="4"/>
      <c r="P3231" s="4"/>
      <c r="Q3231" s="4"/>
      <c r="R3231" s="4"/>
      <c r="S3231" s="4"/>
      <c r="T3231" s="4"/>
      <c r="U3231" s="4"/>
      <c r="V3231" s="4"/>
      <c r="W3231" s="4"/>
      <c r="X3231" s="4"/>
      <c r="Y3231" s="4"/>
      <c r="Z3231" s="4"/>
      <c r="AA3231" s="4"/>
      <c r="AB3231" s="5"/>
    </row>
    <row r="3232" spans="1:28" x14ac:dyDescent="0.35">
      <c r="A3232" s="3"/>
      <c r="B3232" s="4"/>
      <c r="C3232" s="4"/>
      <c r="D3232" s="4"/>
      <c r="E3232" s="4"/>
      <c r="F3232" s="4"/>
      <c r="G3232" s="4"/>
      <c r="H3232" s="4"/>
      <c r="I3232" s="4"/>
      <c r="J3232" s="4"/>
      <c r="K3232" s="4"/>
      <c r="L3232" s="4"/>
      <c r="M3232" s="4"/>
      <c r="N3232" s="4"/>
      <c r="O3232" s="4"/>
      <c r="P3232" s="4"/>
      <c r="Q3232" s="4"/>
      <c r="R3232" s="4"/>
      <c r="S3232" s="4"/>
      <c r="T3232" s="4"/>
      <c r="U3232" s="4"/>
      <c r="V3232" s="4"/>
      <c r="W3232" s="4"/>
      <c r="X3232" s="4"/>
      <c r="Y3232" s="4"/>
      <c r="Z3232" s="4"/>
      <c r="AA3232" s="4"/>
      <c r="AB3232" s="5"/>
    </row>
    <row r="3233" spans="1:28" x14ac:dyDescent="0.35">
      <c r="A3233" s="3"/>
      <c r="B3233" s="4"/>
      <c r="C3233" s="4"/>
      <c r="D3233" s="4"/>
      <c r="E3233" s="4"/>
      <c r="F3233" s="4"/>
      <c r="G3233" s="4"/>
      <c r="H3233" s="4"/>
      <c r="I3233" s="4"/>
      <c r="J3233" s="4"/>
      <c r="K3233" s="4"/>
      <c r="L3233" s="4"/>
      <c r="M3233" s="4"/>
      <c r="N3233" s="4"/>
      <c r="O3233" s="4"/>
      <c r="P3233" s="4"/>
      <c r="Q3233" s="4"/>
      <c r="R3233" s="4"/>
      <c r="S3233" s="4"/>
      <c r="T3233" s="4"/>
      <c r="U3233" s="4"/>
      <c r="V3233" s="4"/>
      <c r="W3233" s="4"/>
      <c r="X3233" s="4"/>
      <c r="Y3233" s="4"/>
      <c r="Z3233" s="4"/>
      <c r="AA3233" s="4"/>
      <c r="AB3233" s="5"/>
    </row>
    <row r="3234" spans="1:28" x14ac:dyDescent="0.35">
      <c r="A3234" s="3"/>
      <c r="B3234" s="4"/>
      <c r="C3234" s="4"/>
      <c r="D3234" s="4"/>
      <c r="E3234" s="4"/>
      <c r="F3234" s="4"/>
      <c r="G3234" s="4"/>
      <c r="H3234" s="4"/>
      <c r="I3234" s="4"/>
      <c r="J3234" s="4"/>
      <c r="K3234" s="4"/>
      <c r="L3234" s="4"/>
      <c r="M3234" s="4"/>
      <c r="N3234" s="4"/>
      <c r="O3234" s="4"/>
      <c r="P3234" s="4"/>
      <c r="Q3234" s="4"/>
      <c r="R3234" s="4"/>
      <c r="S3234" s="4"/>
      <c r="T3234" s="4"/>
      <c r="U3234" s="4"/>
      <c r="V3234" s="4"/>
      <c r="W3234" s="4"/>
      <c r="X3234" s="4"/>
      <c r="Y3234" s="4"/>
      <c r="Z3234" s="4"/>
      <c r="AA3234" s="4"/>
      <c r="AB3234" s="5"/>
    </row>
    <row r="3235" spans="1:28" x14ac:dyDescent="0.35">
      <c r="A3235" s="3"/>
      <c r="B3235" s="4"/>
      <c r="C3235" s="4"/>
      <c r="D3235" s="4"/>
      <c r="E3235" s="4"/>
      <c r="F3235" s="4"/>
      <c r="G3235" s="4"/>
      <c r="H3235" s="4"/>
      <c r="I3235" s="4"/>
      <c r="J3235" s="4"/>
      <c r="K3235" s="4"/>
      <c r="L3235" s="4"/>
      <c r="M3235" s="4"/>
      <c r="N3235" s="4"/>
      <c r="O3235" s="4"/>
      <c r="P3235" s="4"/>
      <c r="Q3235" s="4"/>
      <c r="R3235" s="4"/>
      <c r="S3235" s="4"/>
      <c r="T3235" s="4"/>
      <c r="U3235" s="4"/>
      <c r="V3235" s="4"/>
      <c r="W3235" s="4"/>
      <c r="X3235" s="4"/>
      <c r="Y3235" s="4"/>
      <c r="Z3235" s="4"/>
      <c r="AA3235" s="4"/>
      <c r="AB3235" s="5"/>
    </row>
    <row r="3236" spans="1:28" x14ac:dyDescent="0.35">
      <c r="A3236" s="3"/>
      <c r="B3236" s="4"/>
      <c r="C3236" s="4"/>
      <c r="D3236" s="4"/>
      <c r="E3236" s="4"/>
      <c r="F3236" s="4"/>
      <c r="G3236" s="4"/>
      <c r="H3236" s="4"/>
      <c r="I3236" s="4"/>
      <c r="J3236" s="4"/>
      <c r="K3236" s="4"/>
      <c r="L3236" s="4"/>
      <c r="M3236" s="4"/>
      <c r="N3236" s="4"/>
      <c r="O3236" s="4"/>
      <c r="P3236" s="4"/>
      <c r="Q3236" s="4"/>
      <c r="R3236" s="4"/>
      <c r="S3236" s="4"/>
      <c r="T3236" s="4"/>
      <c r="U3236" s="4"/>
      <c r="V3236" s="4"/>
      <c r="W3236" s="4"/>
      <c r="X3236" s="4"/>
      <c r="Y3236" s="4"/>
      <c r="Z3236" s="4"/>
      <c r="AA3236" s="4"/>
      <c r="AB3236" s="5"/>
    </row>
    <row r="3237" spans="1:28" x14ac:dyDescent="0.35">
      <c r="A3237" s="3"/>
      <c r="B3237" s="4"/>
      <c r="C3237" s="4"/>
      <c r="D3237" s="4"/>
      <c r="E3237" s="4"/>
      <c r="F3237" s="4"/>
      <c r="G3237" s="4"/>
      <c r="H3237" s="4"/>
      <c r="I3237" s="4"/>
      <c r="J3237" s="4"/>
      <c r="K3237" s="4"/>
      <c r="L3237" s="4"/>
      <c r="M3237" s="4"/>
      <c r="N3237" s="4"/>
      <c r="O3237" s="4"/>
      <c r="P3237" s="4"/>
      <c r="Q3237" s="4"/>
      <c r="R3237" s="4"/>
      <c r="S3237" s="4"/>
      <c r="T3237" s="4"/>
      <c r="U3237" s="4"/>
      <c r="V3237" s="4"/>
      <c r="W3237" s="4"/>
      <c r="X3237" s="4"/>
      <c r="Y3237" s="4"/>
      <c r="Z3237" s="4"/>
      <c r="AA3237" s="4"/>
      <c r="AB3237" s="5"/>
    </row>
    <row r="3238" spans="1:28" x14ac:dyDescent="0.35">
      <c r="A3238" s="3"/>
      <c r="B3238" s="4"/>
      <c r="C3238" s="4"/>
      <c r="D3238" s="4"/>
      <c r="E3238" s="4"/>
      <c r="F3238" s="4"/>
      <c r="G3238" s="4"/>
      <c r="H3238" s="4"/>
      <c r="I3238" s="4"/>
      <c r="J3238" s="4"/>
      <c r="K3238" s="4"/>
      <c r="L3238" s="4"/>
      <c r="M3238" s="4"/>
      <c r="N3238" s="4"/>
      <c r="O3238" s="4"/>
      <c r="P3238" s="4"/>
      <c r="Q3238" s="4"/>
      <c r="R3238" s="4"/>
      <c r="S3238" s="4"/>
      <c r="T3238" s="4"/>
      <c r="U3238" s="4"/>
      <c r="V3238" s="4"/>
      <c r="W3238" s="4"/>
      <c r="X3238" s="4"/>
      <c r="Y3238" s="4"/>
      <c r="Z3238" s="4"/>
      <c r="AA3238" s="4"/>
      <c r="AB3238" s="5"/>
    </row>
    <row r="3239" spans="1:28" x14ac:dyDescent="0.35">
      <c r="A3239" s="3"/>
      <c r="B3239" s="4"/>
      <c r="C3239" s="4"/>
      <c r="D3239" s="4"/>
      <c r="E3239" s="4"/>
      <c r="F3239" s="4"/>
      <c r="G3239" s="4"/>
      <c r="H3239" s="4"/>
      <c r="I3239" s="4"/>
      <c r="J3239" s="4"/>
      <c r="K3239" s="4"/>
      <c r="L3239" s="4"/>
      <c r="M3239" s="4"/>
      <c r="N3239" s="4"/>
      <c r="O3239" s="4"/>
      <c r="P3239" s="4"/>
      <c r="Q3239" s="4"/>
      <c r="R3239" s="4"/>
      <c r="S3239" s="4"/>
      <c r="T3239" s="4"/>
      <c r="U3239" s="4"/>
      <c r="V3239" s="4"/>
      <c r="W3239" s="4"/>
      <c r="X3239" s="4"/>
      <c r="Y3239" s="4"/>
      <c r="Z3239" s="4"/>
      <c r="AA3239" s="4"/>
      <c r="AB3239" s="5"/>
    </row>
    <row r="3240" spans="1:28" x14ac:dyDescent="0.35">
      <c r="A3240" s="3"/>
      <c r="B3240" s="4"/>
      <c r="C3240" s="4"/>
      <c r="D3240" s="4"/>
      <c r="E3240" s="4"/>
      <c r="F3240" s="4"/>
      <c r="G3240" s="4"/>
      <c r="H3240" s="4"/>
      <c r="I3240" s="4"/>
      <c r="J3240" s="4"/>
      <c r="K3240" s="4"/>
      <c r="L3240" s="4"/>
      <c r="M3240" s="4"/>
      <c r="N3240" s="4"/>
      <c r="O3240" s="4"/>
      <c r="P3240" s="4"/>
      <c r="Q3240" s="4"/>
      <c r="R3240" s="4"/>
      <c r="S3240" s="4"/>
      <c r="T3240" s="4"/>
      <c r="U3240" s="4"/>
      <c r="V3240" s="4"/>
      <c r="W3240" s="4"/>
      <c r="X3240" s="4"/>
      <c r="Y3240" s="4"/>
      <c r="Z3240" s="4"/>
      <c r="AA3240" s="4"/>
      <c r="AB3240" s="5"/>
    </row>
    <row r="3241" spans="1:28" x14ac:dyDescent="0.35">
      <c r="A3241" s="3"/>
      <c r="B3241" s="4"/>
      <c r="C3241" s="4"/>
      <c r="D3241" s="4"/>
      <c r="E3241" s="4"/>
      <c r="F3241" s="4"/>
      <c r="G3241" s="4"/>
      <c r="H3241" s="4"/>
      <c r="I3241" s="4"/>
      <c r="J3241" s="4"/>
      <c r="K3241" s="4"/>
      <c r="L3241" s="4"/>
      <c r="M3241" s="4"/>
      <c r="N3241" s="4"/>
      <c r="O3241" s="4"/>
      <c r="P3241" s="4"/>
      <c r="Q3241" s="4"/>
      <c r="R3241" s="4"/>
      <c r="S3241" s="4"/>
      <c r="T3241" s="4"/>
      <c r="U3241" s="4"/>
      <c r="V3241" s="4"/>
      <c r="W3241" s="4"/>
      <c r="X3241" s="4"/>
      <c r="Y3241" s="4"/>
      <c r="Z3241" s="4"/>
      <c r="AA3241" s="4"/>
      <c r="AB3241" s="5"/>
    </row>
    <row r="3242" spans="1:28" x14ac:dyDescent="0.35">
      <c r="A3242" s="3"/>
      <c r="B3242" s="4"/>
      <c r="C3242" s="4"/>
      <c r="D3242" s="4"/>
      <c r="E3242" s="4"/>
      <c r="F3242" s="4"/>
      <c r="G3242" s="4"/>
      <c r="H3242" s="4"/>
      <c r="I3242" s="4"/>
      <c r="J3242" s="4"/>
      <c r="K3242" s="4"/>
      <c r="L3242" s="4"/>
      <c r="M3242" s="4"/>
      <c r="N3242" s="4"/>
      <c r="O3242" s="4"/>
      <c r="P3242" s="4"/>
      <c r="Q3242" s="4"/>
      <c r="R3242" s="4"/>
      <c r="S3242" s="4"/>
      <c r="T3242" s="4"/>
      <c r="U3242" s="4"/>
      <c r="V3242" s="4"/>
      <c r="W3242" s="4"/>
      <c r="X3242" s="4"/>
      <c r="Y3242" s="4"/>
      <c r="Z3242" s="4"/>
      <c r="AA3242" s="4"/>
      <c r="AB3242" s="5"/>
    </row>
    <row r="3243" spans="1:28" x14ac:dyDescent="0.35">
      <c r="A3243" s="3"/>
      <c r="B3243" s="4"/>
      <c r="C3243" s="4"/>
      <c r="D3243" s="4"/>
      <c r="E3243" s="4"/>
      <c r="F3243" s="4"/>
      <c r="G3243" s="4"/>
      <c r="H3243" s="4"/>
      <c r="I3243" s="4"/>
      <c r="J3243" s="4"/>
      <c r="K3243" s="4"/>
      <c r="L3243" s="4"/>
      <c r="M3243" s="4"/>
      <c r="N3243" s="4"/>
      <c r="O3243" s="4"/>
      <c r="P3243" s="4"/>
      <c r="Q3243" s="4"/>
      <c r="R3243" s="4"/>
      <c r="S3243" s="4"/>
      <c r="T3243" s="4"/>
      <c r="U3243" s="4"/>
      <c r="V3243" s="4"/>
      <c r="W3243" s="4"/>
      <c r="X3243" s="4"/>
      <c r="Y3243" s="4"/>
      <c r="Z3243" s="4"/>
      <c r="AA3243" s="4"/>
      <c r="AB3243" s="5"/>
    </row>
    <row r="3244" spans="1:28" x14ac:dyDescent="0.35">
      <c r="A3244" s="3"/>
      <c r="B3244" s="4"/>
      <c r="C3244" s="4"/>
      <c r="D3244" s="4"/>
      <c r="E3244" s="4"/>
      <c r="F3244" s="4"/>
      <c r="G3244" s="4"/>
      <c r="H3244" s="4"/>
      <c r="I3244" s="4"/>
      <c r="J3244" s="4"/>
      <c r="K3244" s="4"/>
      <c r="L3244" s="4"/>
      <c r="M3244" s="4"/>
      <c r="N3244" s="4"/>
      <c r="O3244" s="4"/>
      <c r="P3244" s="4"/>
      <c r="Q3244" s="4"/>
      <c r="R3244" s="4"/>
      <c r="S3244" s="4"/>
      <c r="T3244" s="4"/>
      <c r="U3244" s="4"/>
      <c r="V3244" s="4"/>
      <c r="W3244" s="4"/>
      <c r="X3244" s="4"/>
      <c r="Y3244" s="4"/>
      <c r="Z3244" s="4"/>
      <c r="AA3244" s="4"/>
      <c r="AB3244" s="5"/>
    </row>
    <row r="3245" spans="1:28" x14ac:dyDescent="0.35">
      <c r="A3245" s="3"/>
      <c r="B3245" s="4"/>
      <c r="C3245" s="4"/>
      <c r="D3245" s="4"/>
      <c r="E3245" s="4"/>
      <c r="F3245" s="4"/>
      <c r="G3245" s="4"/>
      <c r="H3245" s="4"/>
      <c r="I3245" s="4"/>
      <c r="J3245" s="4"/>
      <c r="K3245" s="4"/>
      <c r="L3245" s="4"/>
      <c r="M3245" s="4"/>
      <c r="N3245" s="4"/>
      <c r="O3245" s="4"/>
      <c r="P3245" s="4"/>
      <c r="Q3245" s="4"/>
      <c r="R3245" s="4"/>
      <c r="S3245" s="4"/>
      <c r="T3245" s="4"/>
      <c r="U3245" s="4"/>
      <c r="V3245" s="4"/>
      <c r="W3245" s="4"/>
      <c r="X3245" s="4"/>
      <c r="Y3245" s="4"/>
      <c r="Z3245" s="4"/>
      <c r="AA3245" s="4"/>
      <c r="AB3245" s="5"/>
    </row>
    <row r="3246" spans="1:28" x14ac:dyDescent="0.35">
      <c r="A3246" s="3"/>
      <c r="B3246" s="4"/>
      <c r="C3246" s="4"/>
      <c r="D3246" s="4"/>
      <c r="E3246" s="4"/>
      <c r="F3246" s="4"/>
      <c r="G3246" s="4"/>
      <c r="H3246" s="4"/>
      <c r="I3246" s="4"/>
      <c r="J3246" s="4"/>
      <c r="K3246" s="4"/>
      <c r="L3246" s="4"/>
      <c r="M3246" s="4"/>
      <c r="N3246" s="4"/>
      <c r="O3246" s="4"/>
      <c r="P3246" s="4"/>
      <c r="Q3246" s="4"/>
      <c r="R3246" s="4"/>
      <c r="S3246" s="4"/>
      <c r="T3246" s="4"/>
      <c r="U3246" s="4"/>
      <c r="V3246" s="4"/>
      <c r="W3246" s="4"/>
      <c r="X3246" s="4"/>
      <c r="Y3246" s="4"/>
      <c r="Z3246" s="4"/>
      <c r="AA3246" s="4"/>
      <c r="AB3246" s="5"/>
    </row>
    <row r="3247" spans="1:28" x14ac:dyDescent="0.35">
      <c r="A3247" s="3"/>
      <c r="B3247" s="4"/>
      <c r="C3247" s="4"/>
      <c r="D3247" s="4"/>
      <c r="E3247" s="4"/>
      <c r="F3247" s="4"/>
      <c r="G3247" s="4"/>
      <c r="H3247" s="4"/>
      <c r="I3247" s="4"/>
      <c r="J3247" s="4"/>
      <c r="K3247" s="4"/>
      <c r="L3247" s="4"/>
      <c r="M3247" s="4"/>
      <c r="N3247" s="4"/>
      <c r="O3247" s="4"/>
      <c r="P3247" s="4"/>
      <c r="Q3247" s="4"/>
      <c r="R3247" s="4"/>
      <c r="S3247" s="4"/>
      <c r="T3247" s="4"/>
      <c r="U3247" s="4"/>
      <c r="V3247" s="4"/>
      <c r="W3247" s="4"/>
      <c r="X3247" s="4"/>
      <c r="Y3247" s="4"/>
      <c r="Z3247" s="4"/>
      <c r="AA3247" s="4"/>
      <c r="AB3247" s="5"/>
    </row>
    <row r="3248" spans="1:28" x14ac:dyDescent="0.35">
      <c r="A3248" s="3"/>
      <c r="B3248" s="4"/>
      <c r="C3248" s="4"/>
      <c r="D3248" s="4"/>
      <c r="E3248" s="4"/>
      <c r="F3248" s="4"/>
      <c r="G3248" s="4"/>
      <c r="H3248" s="4"/>
      <c r="I3248" s="4"/>
      <c r="J3248" s="4"/>
      <c r="K3248" s="4"/>
      <c r="L3248" s="4"/>
      <c r="M3248" s="4"/>
      <c r="N3248" s="4"/>
      <c r="O3248" s="4"/>
      <c r="P3248" s="4"/>
      <c r="Q3248" s="4"/>
      <c r="R3248" s="4"/>
      <c r="S3248" s="4"/>
      <c r="T3248" s="4"/>
      <c r="U3248" s="4"/>
      <c r="V3248" s="4"/>
      <c r="W3248" s="4"/>
      <c r="X3248" s="4"/>
      <c r="Y3248" s="4"/>
      <c r="Z3248" s="4"/>
      <c r="AA3248" s="4"/>
      <c r="AB3248" s="5"/>
    </row>
    <row r="3249" spans="1:28" x14ac:dyDescent="0.35">
      <c r="A3249" s="3"/>
      <c r="B3249" s="4"/>
      <c r="C3249" s="4"/>
      <c r="D3249" s="4"/>
      <c r="E3249" s="4"/>
      <c r="F3249" s="4"/>
      <c r="G3249" s="4"/>
      <c r="H3249" s="4"/>
      <c r="I3249" s="4"/>
      <c r="J3249" s="4"/>
      <c r="K3249" s="4"/>
      <c r="L3249" s="4"/>
      <c r="M3249" s="4"/>
      <c r="N3249" s="4"/>
      <c r="O3249" s="4"/>
      <c r="P3249" s="4"/>
      <c r="Q3249" s="4"/>
      <c r="R3249" s="4"/>
      <c r="S3249" s="4"/>
      <c r="T3249" s="4"/>
      <c r="U3249" s="4"/>
      <c r="V3249" s="4"/>
      <c r="W3249" s="4"/>
      <c r="X3249" s="4"/>
      <c r="Y3249" s="4"/>
      <c r="Z3249" s="4"/>
      <c r="AA3249" s="4"/>
      <c r="AB3249" s="5"/>
    </row>
    <row r="3250" spans="1:28" x14ac:dyDescent="0.35">
      <c r="A3250" s="3"/>
      <c r="B3250" s="4"/>
      <c r="C3250" s="4"/>
      <c r="D3250" s="4"/>
      <c r="E3250" s="4"/>
      <c r="F3250" s="4"/>
      <c r="G3250" s="4"/>
      <c r="H3250" s="4"/>
      <c r="I3250" s="4"/>
      <c r="J3250" s="4"/>
      <c r="K3250" s="4"/>
      <c r="L3250" s="4"/>
      <c r="M3250" s="4"/>
      <c r="N3250" s="4"/>
      <c r="O3250" s="4"/>
      <c r="P3250" s="4"/>
      <c r="Q3250" s="4"/>
      <c r="R3250" s="4"/>
      <c r="S3250" s="4"/>
      <c r="T3250" s="4"/>
      <c r="U3250" s="4"/>
      <c r="V3250" s="4"/>
      <c r="W3250" s="4"/>
      <c r="X3250" s="4"/>
      <c r="Y3250" s="4"/>
      <c r="Z3250" s="4"/>
      <c r="AA3250" s="4"/>
      <c r="AB3250" s="5"/>
    </row>
    <row r="3251" spans="1:28" x14ac:dyDescent="0.35">
      <c r="A3251" s="3"/>
      <c r="B3251" s="4"/>
      <c r="C3251" s="4"/>
      <c r="D3251" s="4"/>
      <c r="E3251" s="4"/>
      <c r="F3251" s="4"/>
      <c r="G3251" s="4"/>
      <c r="H3251" s="4"/>
      <c r="I3251" s="4"/>
      <c r="J3251" s="4"/>
      <c r="K3251" s="4"/>
      <c r="L3251" s="4"/>
      <c r="M3251" s="4"/>
      <c r="N3251" s="4"/>
      <c r="O3251" s="4"/>
      <c r="P3251" s="4"/>
      <c r="Q3251" s="4"/>
      <c r="R3251" s="4"/>
      <c r="S3251" s="4"/>
      <c r="T3251" s="4"/>
      <c r="U3251" s="4"/>
      <c r="V3251" s="4"/>
      <c r="W3251" s="4"/>
      <c r="X3251" s="4"/>
      <c r="Y3251" s="4"/>
      <c r="Z3251" s="4"/>
      <c r="AA3251" s="4"/>
      <c r="AB3251" s="5"/>
    </row>
    <row r="3252" spans="1:28" x14ac:dyDescent="0.35">
      <c r="A3252" s="3"/>
      <c r="B3252" s="4"/>
      <c r="C3252" s="4"/>
      <c r="D3252" s="4"/>
      <c r="E3252" s="4"/>
      <c r="F3252" s="4"/>
      <c r="G3252" s="4"/>
      <c r="H3252" s="4"/>
      <c r="I3252" s="4"/>
      <c r="J3252" s="4"/>
      <c r="K3252" s="4"/>
      <c r="L3252" s="4"/>
      <c r="M3252" s="4"/>
      <c r="N3252" s="4"/>
      <c r="O3252" s="4"/>
      <c r="P3252" s="4"/>
      <c r="Q3252" s="4"/>
      <c r="R3252" s="4"/>
      <c r="S3252" s="4"/>
      <c r="T3252" s="4"/>
      <c r="U3252" s="4"/>
      <c r="V3252" s="4"/>
      <c r="W3252" s="4"/>
      <c r="X3252" s="4"/>
      <c r="Y3252" s="4"/>
      <c r="Z3252" s="4"/>
      <c r="AA3252" s="4"/>
      <c r="AB3252" s="5"/>
    </row>
    <row r="3253" spans="1:28" x14ac:dyDescent="0.35">
      <c r="A3253" s="3"/>
      <c r="B3253" s="4"/>
      <c r="C3253" s="4"/>
      <c r="D3253" s="4"/>
      <c r="E3253" s="4"/>
      <c r="F3253" s="4"/>
      <c r="G3253" s="4"/>
      <c r="H3253" s="4"/>
      <c r="I3253" s="4"/>
      <c r="J3253" s="4"/>
      <c r="K3253" s="4"/>
      <c r="L3253" s="4"/>
      <c r="M3253" s="4"/>
      <c r="N3253" s="4"/>
      <c r="O3253" s="4"/>
      <c r="P3253" s="4"/>
      <c r="Q3253" s="4"/>
      <c r="R3253" s="4"/>
      <c r="S3253" s="4"/>
      <c r="T3253" s="4"/>
      <c r="U3253" s="4"/>
      <c r="V3253" s="4"/>
      <c r="W3253" s="4"/>
      <c r="X3253" s="4"/>
      <c r="Y3253" s="4"/>
      <c r="Z3253" s="4"/>
      <c r="AA3253" s="4"/>
      <c r="AB3253" s="5"/>
    </row>
    <row r="3254" spans="1:28" x14ac:dyDescent="0.35">
      <c r="A3254" s="3"/>
      <c r="B3254" s="4"/>
      <c r="C3254" s="4"/>
      <c r="D3254" s="4"/>
      <c r="E3254" s="4"/>
      <c r="F3254" s="4"/>
      <c r="G3254" s="4"/>
      <c r="H3254" s="4"/>
      <c r="I3254" s="4"/>
      <c r="J3254" s="4"/>
      <c r="K3254" s="4"/>
      <c r="L3254" s="4"/>
      <c r="M3254" s="4"/>
      <c r="N3254" s="4"/>
      <c r="O3254" s="4"/>
      <c r="P3254" s="4"/>
      <c r="Q3254" s="4"/>
      <c r="R3254" s="4"/>
      <c r="S3254" s="4"/>
      <c r="T3254" s="4"/>
      <c r="U3254" s="4"/>
      <c r="V3254" s="4"/>
      <c r="W3254" s="4"/>
      <c r="X3254" s="4"/>
      <c r="Y3254" s="4"/>
      <c r="Z3254" s="4"/>
      <c r="AA3254" s="4"/>
      <c r="AB3254" s="5"/>
    </row>
    <row r="3255" spans="1:28" x14ac:dyDescent="0.35">
      <c r="A3255" s="3"/>
      <c r="B3255" s="4"/>
      <c r="C3255" s="4"/>
      <c r="D3255" s="4"/>
      <c r="E3255" s="4"/>
      <c r="F3255" s="4"/>
      <c r="G3255" s="4"/>
      <c r="H3255" s="4"/>
      <c r="I3255" s="4"/>
      <c r="J3255" s="4"/>
      <c r="K3255" s="4"/>
      <c r="L3255" s="4"/>
      <c r="M3255" s="4"/>
      <c r="N3255" s="4"/>
      <c r="O3255" s="4"/>
      <c r="P3255" s="4"/>
      <c r="Q3255" s="4"/>
      <c r="R3255" s="4"/>
      <c r="S3255" s="4"/>
      <c r="T3255" s="4"/>
      <c r="U3255" s="4"/>
      <c r="V3255" s="4"/>
      <c r="W3255" s="4"/>
      <c r="X3255" s="4"/>
      <c r="Y3255" s="4"/>
      <c r="Z3255" s="4"/>
      <c r="AA3255" s="4"/>
      <c r="AB3255" s="5"/>
    </row>
    <row r="3256" spans="1:28" x14ac:dyDescent="0.35">
      <c r="A3256" s="3"/>
      <c r="B3256" s="4"/>
      <c r="C3256" s="4"/>
      <c r="D3256" s="4"/>
      <c r="E3256" s="4"/>
      <c r="F3256" s="4"/>
      <c r="G3256" s="4"/>
      <c r="H3256" s="4"/>
      <c r="I3256" s="4"/>
      <c r="J3256" s="4"/>
      <c r="K3256" s="4"/>
      <c r="L3256" s="4"/>
      <c r="M3256" s="4"/>
      <c r="N3256" s="4"/>
      <c r="O3256" s="4"/>
      <c r="P3256" s="4"/>
      <c r="Q3256" s="4"/>
      <c r="R3256" s="4"/>
      <c r="S3256" s="4"/>
      <c r="T3256" s="4"/>
      <c r="U3256" s="4"/>
      <c r="V3256" s="4"/>
      <c r="W3256" s="4"/>
      <c r="X3256" s="4"/>
      <c r="Y3256" s="4"/>
      <c r="Z3256" s="4"/>
      <c r="AA3256" s="4"/>
      <c r="AB3256" s="5"/>
    </row>
    <row r="3257" spans="1:28" x14ac:dyDescent="0.35">
      <c r="A3257" s="3"/>
      <c r="B3257" s="4"/>
      <c r="C3257" s="4"/>
      <c r="D3257" s="4"/>
      <c r="E3257" s="4"/>
      <c r="F3257" s="4"/>
      <c r="G3257" s="4"/>
      <c r="H3257" s="4"/>
      <c r="I3257" s="4"/>
      <c r="J3257" s="4"/>
      <c r="K3257" s="4"/>
      <c r="L3257" s="4"/>
      <c r="M3257" s="4"/>
      <c r="N3257" s="4"/>
      <c r="O3257" s="4"/>
      <c r="P3257" s="4"/>
      <c r="Q3257" s="4"/>
      <c r="R3257" s="4"/>
      <c r="S3257" s="4"/>
      <c r="T3257" s="4"/>
      <c r="U3257" s="4"/>
      <c r="V3257" s="4"/>
      <c r="W3257" s="4"/>
      <c r="X3257" s="4"/>
      <c r="Y3257" s="4"/>
      <c r="Z3257" s="4"/>
      <c r="AA3257" s="4"/>
      <c r="AB3257" s="5"/>
    </row>
    <row r="3258" spans="1:28" x14ac:dyDescent="0.35">
      <c r="A3258" s="3"/>
      <c r="B3258" s="4"/>
      <c r="C3258" s="4"/>
      <c r="D3258" s="4"/>
      <c r="E3258" s="4"/>
      <c r="F3258" s="4"/>
      <c r="G3258" s="4"/>
      <c r="H3258" s="4"/>
      <c r="I3258" s="4"/>
      <c r="J3258" s="4"/>
      <c r="K3258" s="4"/>
      <c r="L3258" s="4"/>
      <c r="M3258" s="4"/>
      <c r="N3258" s="4"/>
      <c r="O3258" s="4"/>
      <c r="P3258" s="4"/>
      <c r="Q3258" s="4"/>
      <c r="R3258" s="4"/>
      <c r="S3258" s="4"/>
      <c r="T3258" s="4"/>
      <c r="U3258" s="4"/>
      <c r="V3258" s="4"/>
      <c r="W3258" s="4"/>
      <c r="X3258" s="4"/>
      <c r="Y3258" s="4"/>
      <c r="Z3258" s="4"/>
      <c r="AA3258" s="4"/>
      <c r="AB3258" s="5"/>
    </row>
    <row r="3259" spans="1:28" x14ac:dyDescent="0.35">
      <c r="A3259" s="3"/>
      <c r="B3259" s="4"/>
      <c r="C3259" s="4"/>
      <c r="D3259" s="4"/>
      <c r="E3259" s="4"/>
      <c r="F3259" s="4"/>
      <c r="G3259" s="4"/>
      <c r="H3259" s="4"/>
      <c r="I3259" s="4"/>
      <c r="J3259" s="4"/>
      <c r="K3259" s="4"/>
      <c r="L3259" s="4"/>
      <c r="M3259" s="4"/>
      <c r="N3259" s="4"/>
      <c r="O3259" s="4"/>
      <c r="P3259" s="4"/>
      <c r="Q3259" s="4"/>
      <c r="R3259" s="4"/>
      <c r="S3259" s="4"/>
      <c r="T3259" s="4"/>
      <c r="U3259" s="4"/>
      <c r="V3259" s="4"/>
      <c r="W3259" s="4"/>
      <c r="X3259" s="4"/>
      <c r="Y3259" s="4"/>
      <c r="Z3259" s="4"/>
      <c r="AA3259" s="4"/>
      <c r="AB3259" s="5"/>
    </row>
    <row r="3260" spans="1:28" x14ac:dyDescent="0.35">
      <c r="A3260" s="3"/>
      <c r="B3260" s="4"/>
      <c r="C3260" s="4"/>
      <c r="D3260" s="4"/>
      <c r="E3260" s="4"/>
      <c r="F3260" s="4"/>
      <c r="G3260" s="4"/>
      <c r="H3260" s="4"/>
      <c r="I3260" s="4"/>
      <c r="J3260" s="4"/>
      <c r="K3260" s="4"/>
      <c r="L3260" s="4"/>
      <c r="M3260" s="4"/>
      <c r="N3260" s="4"/>
      <c r="O3260" s="4"/>
      <c r="P3260" s="4"/>
      <c r="Q3260" s="4"/>
      <c r="R3260" s="4"/>
      <c r="S3260" s="4"/>
      <c r="T3260" s="4"/>
      <c r="U3260" s="4"/>
      <c r="V3260" s="4"/>
      <c r="W3260" s="4"/>
      <c r="X3260" s="4"/>
      <c r="Y3260" s="4"/>
      <c r="Z3260" s="4"/>
      <c r="AA3260" s="4"/>
      <c r="AB3260" s="5"/>
    </row>
    <row r="3261" spans="1:28" x14ac:dyDescent="0.35">
      <c r="A3261" s="3"/>
      <c r="B3261" s="4"/>
      <c r="C3261" s="4"/>
      <c r="D3261" s="4"/>
      <c r="E3261" s="4"/>
      <c r="F3261" s="4"/>
      <c r="G3261" s="4"/>
      <c r="H3261" s="4"/>
      <c r="I3261" s="4"/>
      <c r="J3261" s="4"/>
      <c r="K3261" s="4"/>
      <c r="L3261" s="4"/>
      <c r="M3261" s="4"/>
      <c r="N3261" s="4"/>
      <c r="O3261" s="4"/>
      <c r="P3261" s="4"/>
      <c r="Q3261" s="4"/>
      <c r="R3261" s="4"/>
      <c r="S3261" s="4"/>
      <c r="T3261" s="4"/>
      <c r="U3261" s="4"/>
      <c r="V3261" s="4"/>
      <c r="W3261" s="4"/>
      <c r="X3261" s="4"/>
      <c r="Y3261" s="4"/>
      <c r="Z3261" s="4"/>
      <c r="AA3261" s="4"/>
      <c r="AB3261" s="5"/>
    </row>
    <row r="3262" spans="1:28" x14ac:dyDescent="0.35">
      <c r="A3262" s="3"/>
      <c r="B3262" s="4"/>
      <c r="C3262" s="4"/>
      <c r="D3262" s="4"/>
      <c r="E3262" s="4"/>
      <c r="F3262" s="4"/>
      <c r="G3262" s="4"/>
      <c r="H3262" s="4"/>
      <c r="I3262" s="4"/>
      <c r="J3262" s="4"/>
      <c r="K3262" s="4"/>
      <c r="L3262" s="4"/>
      <c r="M3262" s="4"/>
      <c r="N3262" s="4"/>
      <c r="O3262" s="4"/>
      <c r="P3262" s="4"/>
      <c r="Q3262" s="4"/>
      <c r="R3262" s="4"/>
      <c r="S3262" s="4"/>
      <c r="T3262" s="4"/>
      <c r="U3262" s="4"/>
      <c r="V3262" s="4"/>
      <c r="W3262" s="4"/>
      <c r="X3262" s="4"/>
      <c r="Y3262" s="4"/>
      <c r="Z3262" s="4"/>
      <c r="AA3262" s="4"/>
      <c r="AB3262" s="5"/>
    </row>
    <row r="3263" spans="1:28" x14ac:dyDescent="0.35">
      <c r="A3263" s="3"/>
      <c r="B3263" s="4"/>
      <c r="C3263" s="4"/>
      <c r="D3263" s="4"/>
      <c r="E3263" s="4"/>
      <c r="F3263" s="4"/>
      <c r="G3263" s="4"/>
      <c r="H3263" s="4"/>
      <c r="I3263" s="4"/>
      <c r="J3263" s="4"/>
      <c r="K3263" s="4"/>
      <c r="L3263" s="4"/>
      <c r="M3263" s="4"/>
      <c r="N3263" s="4"/>
      <c r="O3263" s="4"/>
      <c r="P3263" s="4"/>
      <c r="Q3263" s="4"/>
      <c r="R3263" s="4"/>
      <c r="S3263" s="4"/>
      <c r="T3263" s="4"/>
      <c r="U3263" s="4"/>
      <c r="V3263" s="4"/>
      <c r="W3263" s="4"/>
      <c r="X3263" s="4"/>
      <c r="Y3263" s="4"/>
      <c r="Z3263" s="4"/>
      <c r="AA3263" s="4"/>
      <c r="AB3263" s="5"/>
    </row>
    <row r="3264" spans="1:28" x14ac:dyDescent="0.35">
      <c r="A3264" s="3"/>
      <c r="B3264" s="4"/>
      <c r="C3264" s="4"/>
      <c r="D3264" s="4"/>
      <c r="E3264" s="4"/>
      <c r="F3264" s="4"/>
      <c r="G3264" s="4"/>
      <c r="H3264" s="4"/>
      <c r="I3264" s="4"/>
      <c r="J3264" s="4"/>
      <c r="K3264" s="4"/>
      <c r="L3264" s="4"/>
      <c r="M3264" s="4"/>
      <c r="N3264" s="4"/>
      <c r="O3264" s="4"/>
      <c r="P3264" s="4"/>
      <c r="Q3264" s="4"/>
      <c r="R3264" s="4"/>
      <c r="S3264" s="4"/>
      <c r="T3264" s="4"/>
      <c r="U3264" s="4"/>
      <c r="V3264" s="4"/>
      <c r="W3264" s="4"/>
      <c r="X3264" s="4"/>
      <c r="Y3264" s="4"/>
      <c r="Z3264" s="4"/>
      <c r="AA3264" s="4"/>
      <c r="AB3264" s="5"/>
    </row>
    <row r="3265" spans="1:28" x14ac:dyDescent="0.35">
      <c r="A3265" s="3"/>
      <c r="B3265" s="4"/>
      <c r="C3265" s="4"/>
      <c r="D3265" s="4"/>
      <c r="E3265" s="4"/>
      <c r="F3265" s="4"/>
      <c r="G3265" s="4"/>
      <c r="H3265" s="4"/>
      <c r="I3265" s="4"/>
      <c r="J3265" s="4"/>
      <c r="K3265" s="4"/>
      <c r="L3265" s="4"/>
      <c r="M3265" s="4"/>
      <c r="N3265" s="4"/>
      <c r="O3265" s="4"/>
      <c r="P3265" s="4"/>
      <c r="Q3265" s="4"/>
      <c r="R3265" s="4"/>
      <c r="S3265" s="4"/>
      <c r="T3265" s="4"/>
      <c r="U3265" s="4"/>
      <c r="V3265" s="4"/>
      <c r="W3265" s="4"/>
      <c r="X3265" s="4"/>
      <c r="Y3265" s="4"/>
      <c r="Z3265" s="4"/>
      <c r="AA3265" s="4"/>
      <c r="AB3265" s="5"/>
    </row>
    <row r="3266" spans="1:28" x14ac:dyDescent="0.35">
      <c r="A3266" s="3"/>
      <c r="B3266" s="4"/>
      <c r="C3266" s="4"/>
      <c r="D3266" s="4"/>
      <c r="E3266" s="4"/>
      <c r="F3266" s="4"/>
      <c r="G3266" s="4"/>
      <c r="H3266" s="4"/>
      <c r="I3266" s="4"/>
      <c r="J3266" s="4"/>
      <c r="K3266" s="4"/>
      <c r="L3266" s="4"/>
      <c r="M3266" s="4"/>
      <c r="N3266" s="4"/>
      <c r="O3266" s="4"/>
      <c r="P3266" s="4"/>
      <c r="Q3266" s="4"/>
      <c r="R3266" s="4"/>
      <c r="S3266" s="4"/>
      <c r="T3266" s="4"/>
      <c r="U3266" s="4"/>
      <c r="V3266" s="4"/>
      <c r="W3266" s="4"/>
      <c r="X3266" s="4"/>
      <c r="Y3266" s="4"/>
      <c r="Z3266" s="4"/>
      <c r="AA3266" s="4"/>
      <c r="AB3266" s="5"/>
    </row>
    <row r="3267" spans="1:28" x14ac:dyDescent="0.35">
      <c r="A3267" s="3"/>
      <c r="B3267" s="4"/>
      <c r="C3267" s="4"/>
      <c r="D3267" s="4"/>
      <c r="E3267" s="4"/>
      <c r="F3267" s="4"/>
      <c r="G3267" s="4"/>
      <c r="H3267" s="4"/>
      <c r="I3267" s="4"/>
      <c r="J3267" s="4"/>
      <c r="K3267" s="4"/>
      <c r="L3267" s="4"/>
      <c r="M3267" s="4"/>
      <c r="N3267" s="4"/>
      <c r="O3267" s="4"/>
      <c r="P3267" s="4"/>
      <c r="Q3267" s="4"/>
      <c r="R3267" s="4"/>
      <c r="S3267" s="4"/>
      <c r="T3267" s="4"/>
      <c r="U3267" s="4"/>
      <c r="V3267" s="4"/>
      <c r="W3267" s="4"/>
      <c r="X3267" s="4"/>
      <c r="Y3267" s="4"/>
      <c r="Z3267" s="4"/>
      <c r="AA3267" s="4"/>
      <c r="AB3267" s="5"/>
    </row>
    <row r="3268" spans="1:28" x14ac:dyDescent="0.35">
      <c r="A3268" s="3"/>
      <c r="B3268" s="4"/>
      <c r="C3268" s="4"/>
      <c r="D3268" s="4"/>
      <c r="E3268" s="4"/>
      <c r="F3268" s="4"/>
      <c r="G3268" s="4"/>
      <c r="H3268" s="4"/>
      <c r="I3268" s="4"/>
      <c r="J3268" s="4"/>
      <c r="K3268" s="4"/>
      <c r="L3268" s="4"/>
      <c r="M3268" s="4"/>
      <c r="N3268" s="4"/>
      <c r="O3268" s="4"/>
      <c r="P3268" s="4"/>
      <c r="Q3268" s="4"/>
      <c r="R3268" s="4"/>
      <c r="S3268" s="4"/>
      <c r="T3268" s="4"/>
      <c r="U3268" s="4"/>
      <c r="V3268" s="4"/>
      <c r="W3268" s="4"/>
      <c r="X3268" s="4"/>
      <c r="Y3268" s="4"/>
      <c r="Z3268" s="4"/>
      <c r="AA3268" s="4"/>
      <c r="AB3268" s="5"/>
    </row>
    <row r="3269" spans="1:28" x14ac:dyDescent="0.35">
      <c r="A3269" s="3"/>
      <c r="B3269" s="4"/>
      <c r="C3269" s="4"/>
      <c r="D3269" s="4"/>
      <c r="E3269" s="4"/>
      <c r="F3269" s="4"/>
      <c r="G3269" s="4"/>
      <c r="H3269" s="4"/>
      <c r="I3269" s="4"/>
      <c r="J3269" s="4"/>
      <c r="K3269" s="4"/>
      <c r="L3269" s="4"/>
      <c r="M3269" s="4"/>
      <c r="N3269" s="4"/>
      <c r="O3269" s="4"/>
      <c r="P3269" s="4"/>
      <c r="Q3269" s="4"/>
      <c r="R3269" s="4"/>
      <c r="S3269" s="4"/>
      <c r="T3269" s="4"/>
      <c r="U3269" s="4"/>
      <c r="V3269" s="4"/>
      <c r="W3269" s="4"/>
      <c r="X3269" s="4"/>
      <c r="Y3269" s="4"/>
      <c r="Z3269" s="4"/>
      <c r="AA3269" s="4"/>
      <c r="AB3269" s="5"/>
    </row>
    <row r="3270" spans="1:28" x14ac:dyDescent="0.35">
      <c r="A3270" s="3"/>
      <c r="B3270" s="4"/>
      <c r="C3270" s="4"/>
      <c r="D3270" s="4"/>
      <c r="E3270" s="4"/>
      <c r="F3270" s="4"/>
      <c r="G3270" s="4"/>
      <c r="H3270" s="4"/>
      <c r="I3270" s="4"/>
      <c r="J3270" s="4"/>
      <c r="K3270" s="4"/>
      <c r="L3270" s="4"/>
      <c r="M3270" s="4"/>
      <c r="N3270" s="4"/>
      <c r="O3270" s="4"/>
      <c r="P3270" s="4"/>
      <c r="Q3270" s="4"/>
      <c r="R3270" s="4"/>
      <c r="S3270" s="4"/>
      <c r="T3270" s="4"/>
      <c r="U3270" s="4"/>
      <c r="V3270" s="4"/>
      <c r="W3270" s="4"/>
      <c r="X3270" s="4"/>
      <c r="Y3270" s="4"/>
      <c r="Z3270" s="4"/>
      <c r="AA3270" s="4"/>
      <c r="AB3270" s="5"/>
    </row>
    <row r="3271" spans="1:28" x14ac:dyDescent="0.35">
      <c r="A3271" s="3"/>
      <c r="B3271" s="4"/>
      <c r="C3271" s="4"/>
      <c r="D3271" s="4"/>
      <c r="E3271" s="4"/>
      <c r="F3271" s="4"/>
      <c r="G3271" s="4"/>
      <c r="H3271" s="4"/>
      <c r="I3271" s="4"/>
      <c r="J3271" s="4"/>
      <c r="K3271" s="4"/>
      <c r="L3271" s="4"/>
      <c r="M3271" s="4"/>
      <c r="N3271" s="4"/>
      <c r="O3271" s="4"/>
      <c r="P3271" s="4"/>
      <c r="Q3271" s="4"/>
      <c r="R3271" s="4"/>
      <c r="S3271" s="4"/>
      <c r="T3271" s="4"/>
      <c r="U3271" s="4"/>
      <c r="V3271" s="4"/>
      <c r="W3271" s="4"/>
      <c r="X3271" s="4"/>
      <c r="Y3271" s="4"/>
      <c r="Z3271" s="4"/>
      <c r="AA3271" s="4"/>
      <c r="AB3271" s="5"/>
    </row>
    <row r="3272" spans="1:28" x14ac:dyDescent="0.35">
      <c r="A3272" s="3"/>
      <c r="B3272" s="4"/>
      <c r="C3272" s="4"/>
      <c r="D3272" s="4"/>
      <c r="E3272" s="4"/>
      <c r="F3272" s="4"/>
      <c r="G3272" s="4"/>
      <c r="H3272" s="4"/>
      <c r="I3272" s="4"/>
      <c r="J3272" s="4"/>
      <c r="K3272" s="4"/>
      <c r="L3272" s="4"/>
      <c r="M3272" s="4"/>
      <c r="N3272" s="4"/>
      <c r="O3272" s="4"/>
      <c r="P3272" s="4"/>
      <c r="Q3272" s="4"/>
      <c r="R3272" s="4"/>
      <c r="S3272" s="4"/>
      <c r="T3272" s="4"/>
      <c r="U3272" s="4"/>
      <c r="V3272" s="4"/>
      <c r="W3272" s="4"/>
      <c r="X3272" s="4"/>
      <c r="Y3272" s="4"/>
      <c r="Z3272" s="4"/>
      <c r="AA3272" s="4"/>
      <c r="AB3272" s="5"/>
    </row>
    <row r="3273" spans="1:28" x14ac:dyDescent="0.35">
      <c r="A3273" s="3"/>
      <c r="B3273" s="4"/>
      <c r="C3273" s="4"/>
      <c r="D3273" s="4"/>
      <c r="E3273" s="4"/>
      <c r="F3273" s="4"/>
      <c r="G3273" s="4"/>
      <c r="H3273" s="4"/>
      <c r="I3273" s="4"/>
      <c r="J3273" s="4"/>
      <c r="K3273" s="4"/>
      <c r="L3273" s="4"/>
      <c r="M3273" s="4"/>
      <c r="N3273" s="4"/>
      <c r="O3273" s="4"/>
      <c r="P3273" s="4"/>
      <c r="Q3273" s="4"/>
      <c r="R3273" s="4"/>
      <c r="S3273" s="4"/>
      <c r="T3273" s="4"/>
      <c r="U3273" s="4"/>
      <c r="V3273" s="4"/>
      <c r="W3273" s="4"/>
      <c r="X3273" s="4"/>
      <c r="Y3273" s="4"/>
      <c r="Z3273" s="4"/>
      <c r="AA3273" s="4"/>
      <c r="AB3273" s="5"/>
    </row>
    <row r="3274" spans="1:28" x14ac:dyDescent="0.35">
      <c r="A3274" s="3"/>
      <c r="B3274" s="4"/>
      <c r="C3274" s="4"/>
      <c r="D3274" s="4"/>
      <c r="E3274" s="4"/>
      <c r="F3274" s="4"/>
      <c r="G3274" s="4"/>
      <c r="H3274" s="4"/>
      <c r="I3274" s="4"/>
      <c r="J3274" s="4"/>
      <c r="K3274" s="4"/>
      <c r="L3274" s="4"/>
      <c r="M3274" s="4"/>
      <c r="N3274" s="4"/>
      <c r="O3274" s="4"/>
      <c r="P3274" s="4"/>
      <c r="Q3274" s="4"/>
      <c r="R3274" s="4"/>
      <c r="S3274" s="4"/>
      <c r="T3274" s="4"/>
      <c r="U3274" s="4"/>
      <c r="V3274" s="4"/>
      <c r="W3274" s="4"/>
      <c r="X3274" s="4"/>
      <c r="Y3274" s="4"/>
      <c r="Z3274" s="4"/>
      <c r="AA3274" s="4"/>
      <c r="AB3274" s="5"/>
    </row>
    <row r="3275" spans="1:28" x14ac:dyDescent="0.35">
      <c r="A3275" s="3"/>
      <c r="B3275" s="4"/>
      <c r="C3275" s="4"/>
      <c r="D3275" s="4"/>
      <c r="E3275" s="4"/>
      <c r="F3275" s="4"/>
      <c r="G3275" s="4"/>
      <c r="H3275" s="4"/>
      <c r="I3275" s="4"/>
      <c r="J3275" s="4"/>
      <c r="K3275" s="4"/>
      <c r="L3275" s="4"/>
      <c r="M3275" s="4"/>
      <c r="N3275" s="4"/>
      <c r="O3275" s="4"/>
      <c r="P3275" s="4"/>
      <c r="Q3275" s="4"/>
      <c r="R3275" s="4"/>
      <c r="S3275" s="4"/>
      <c r="T3275" s="4"/>
      <c r="U3275" s="4"/>
      <c r="V3275" s="4"/>
      <c r="W3275" s="4"/>
      <c r="X3275" s="4"/>
      <c r="Y3275" s="4"/>
      <c r="Z3275" s="4"/>
      <c r="AA3275" s="4"/>
      <c r="AB3275" s="5"/>
    </row>
    <row r="3276" spans="1:28" x14ac:dyDescent="0.35">
      <c r="A3276" s="3"/>
      <c r="B3276" s="4"/>
      <c r="C3276" s="4"/>
      <c r="D3276" s="4"/>
      <c r="E3276" s="4"/>
      <c r="F3276" s="4"/>
      <c r="G3276" s="4"/>
      <c r="H3276" s="4"/>
      <c r="I3276" s="4"/>
      <c r="J3276" s="4"/>
      <c r="K3276" s="4"/>
      <c r="L3276" s="4"/>
      <c r="M3276" s="4"/>
      <c r="N3276" s="4"/>
      <c r="O3276" s="4"/>
      <c r="P3276" s="4"/>
      <c r="Q3276" s="4"/>
      <c r="R3276" s="4"/>
      <c r="S3276" s="4"/>
      <c r="T3276" s="4"/>
      <c r="U3276" s="4"/>
      <c r="V3276" s="4"/>
      <c r="W3276" s="4"/>
      <c r="X3276" s="4"/>
      <c r="Y3276" s="4"/>
      <c r="Z3276" s="4"/>
      <c r="AA3276" s="4"/>
      <c r="AB3276" s="5"/>
    </row>
    <row r="3277" spans="1:28" x14ac:dyDescent="0.35">
      <c r="A3277" s="3"/>
      <c r="B3277" s="4"/>
      <c r="C3277" s="4"/>
      <c r="D3277" s="4"/>
      <c r="E3277" s="4"/>
      <c r="F3277" s="4"/>
      <c r="G3277" s="4"/>
      <c r="H3277" s="4"/>
      <c r="I3277" s="4"/>
      <c r="J3277" s="4"/>
      <c r="K3277" s="4"/>
      <c r="L3277" s="4"/>
      <c r="M3277" s="4"/>
      <c r="N3277" s="4"/>
      <c r="O3277" s="4"/>
      <c r="P3277" s="4"/>
      <c r="Q3277" s="4"/>
      <c r="R3277" s="4"/>
      <c r="S3277" s="4"/>
      <c r="T3277" s="4"/>
      <c r="U3277" s="4"/>
      <c r="V3277" s="4"/>
      <c r="W3277" s="4"/>
      <c r="X3277" s="4"/>
      <c r="Y3277" s="4"/>
      <c r="Z3277" s="4"/>
      <c r="AA3277" s="4"/>
      <c r="AB3277" s="5"/>
    </row>
    <row r="3278" spans="1:28" x14ac:dyDescent="0.35">
      <c r="A3278" s="3"/>
      <c r="B3278" s="4"/>
      <c r="C3278" s="4"/>
      <c r="D3278" s="4"/>
      <c r="E3278" s="4"/>
      <c r="F3278" s="4"/>
      <c r="G3278" s="4"/>
      <c r="H3278" s="4"/>
      <c r="I3278" s="4"/>
      <c r="J3278" s="4"/>
      <c r="K3278" s="4"/>
      <c r="L3278" s="4"/>
      <c r="M3278" s="4"/>
      <c r="N3278" s="4"/>
      <c r="O3278" s="4"/>
      <c r="P3278" s="4"/>
      <c r="Q3278" s="4"/>
      <c r="R3278" s="4"/>
      <c r="S3278" s="4"/>
      <c r="T3278" s="4"/>
      <c r="U3278" s="4"/>
      <c r="V3278" s="4"/>
      <c r="W3278" s="4"/>
      <c r="X3278" s="4"/>
      <c r="Y3278" s="4"/>
      <c r="Z3278" s="4"/>
      <c r="AA3278" s="4"/>
      <c r="AB3278" s="5"/>
    </row>
    <row r="3279" spans="1:28" x14ac:dyDescent="0.35">
      <c r="A3279" s="3"/>
      <c r="B3279" s="4"/>
      <c r="C3279" s="4"/>
      <c r="D3279" s="4"/>
      <c r="E3279" s="4"/>
      <c r="F3279" s="4"/>
      <c r="G3279" s="4"/>
      <c r="H3279" s="4"/>
      <c r="I3279" s="4"/>
      <c r="J3279" s="4"/>
      <c r="K3279" s="4"/>
      <c r="L3279" s="4"/>
      <c r="M3279" s="4"/>
      <c r="N3279" s="4"/>
      <c r="O3279" s="4"/>
      <c r="P3279" s="4"/>
      <c r="Q3279" s="4"/>
      <c r="R3279" s="4"/>
      <c r="S3279" s="4"/>
      <c r="T3279" s="4"/>
      <c r="U3279" s="4"/>
      <c r="V3279" s="4"/>
      <c r="W3279" s="4"/>
      <c r="X3279" s="4"/>
      <c r="Y3279" s="4"/>
      <c r="Z3279" s="4"/>
      <c r="AA3279" s="4"/>
      <c r="AB3279" s="5"/>
    </row>
    <row r="3280" spans="1:28" x14ac:dyDescent="0.35">
      <c r="A3280" s="3"/>
      <c r="B3280" s="4"/>
      <c r="C3280" s="4"/>
      <c r="D3280" s="4"/>
      <c r="E3280" s="4"/>
      <c r="F3280" s="4"/>
      <c r="G3280" s="4"/>
      <c r="H3280" s="4"/>
      <c r="I3280" s="4"/>
      <c r="J3280" s="4"/>
      <c r="K3280" s="4"/>
      <c r="L3280" s="4"/>
      <c r="M3280" s="4"/>
      <c r="N3280" s="4"/>
      <c r="O3280" s="4"/>
      <c r="P3280" s="4"/>
      <c r="Q3280" s="4"/>
      <c r="R3280" s="4"/>
      <c r="S3280" s="4"/>
      <c r="T3280" s="4"/>
      <c r="U3280" s="4"/>
      <c r="V3280" s="4"/>
      <c r="W3280" s="4"/>
      <c r="X3280" s="4"/>
      <c r="Y3280" s="4"/>
      <c r="Z3280" s="4"/>
      <c r="AA3280" s="4"/>
      <c r="AB3280" s="5"/>
    </row>
    <row r="3281" spans="1:28" x14ac:dyDescent="0.35">
      <c r="A3281" s="3"/>
      <c r="B3281" s="4"/>
      <c r="C3281" s="4"/>
      <c r="D3281" s="4"/>
      <c r="E3281" s="4"/>
      <c r="F3281" s="4"/>
      <c r="G3281" s="4"/>
      <c r="H3281" s="4"/>
      <c r="I3281" s="4"/>
      <c r="J3281" s="4"/>
      <c r="K3281" s="4"/>
      <c r="L3281" s="4"/>
      <c r="M3281" s="4"/>
      <c r="N3281" s="4"/>
      <c r="O3281" s="4"/>
      <c r="P3281" s="4"/>
      <c r="Q3281" s="4"/>
      <c r="R3281" s="4"/>
      <c r="S3281" s="4"/>
      <c r="T3281" s="4"/>
      <c r="U3281" s="4"/>
      <c r="V3281" s="4"/>
      <c r="W3281" s="4"/>
      <c r="X3281" s="4"/>
      <c r="Y3281" s="4"/>
      <c r="Z3281" s="4"/>
      <c r="AA3281" s="4"/>
      <c r="AB3281" s="5"/>
    </row>
    <row r="3282" spans="1:28" x14ac:dyDescent="0.35">
      <c r="A3282" s="3"/>
      <c r="B3282" s="4"/>
      <c r="C3282" s="4"/>
      <c r="D3282" s="4"/>
      <c r="E3282" s="4"/>
      <c r="F3282" s="4"/>
      <c r="G3282" s="4"/>
      <c r="H3282" s="4"/>
      <c r="I3282" s="4"/>
      <c r="J3282" s="4"/>
      <c r="K3282" s="4"/>
      <c r="L3282" s="4"/>
      <c r="M3282" s="4"/>
      <c r="N3282" s="4"/>
      <c r="O3282" s="4"/>
      <c r="P3282" s="4"/>
      <c r="Q3282" s="4"/>
      <c r="R3282" s="4"/>
      <c r="S3282" s="4"/>
      <c r="T3282" s="4"/>
      <c r="U3282" s="4"/>
      <c r="V3282" s="4"/>
      <c r="W3282" s="4"/>
      <c r="X3282" s="4"/>
      <c r="Y3282" s="4"/>
      <c r="Z3282" s="4"/>
      <c r="AA3282" s="4"/>
      <c r="AB3282" s="5"/>
    </row>
    <row r="3283" spans="1:28" x14ac:dyDescent="0.35">
      <c r="A3283" s="3"/>
      <c r="B3283" s="4"/>
      <c r="C3283" s="4"/>
      <c r="D3283" s="4"/>
      <c r="E3283" s="4"/>
      <c r="F3283" s="4"/>
      <c r="G3283" s="4"/>
      <c r="H3283" s="4"/>
      <c r="I3283" s="4"/>
      <c r="J3283" s="4"/>
      <c r="K3283" s="4"/>
      <c r="L3283" s="4"/>
      <c r="M3283" s="4"/>
      <c r="N3283" s="4"/>
      <c r="O3283" s="4"/>
      <c r="P3283" s="4"/>
      <c r="Q3283" s="4"/>
      <c r="R3283" s="4"/>
      <c r="S3283" s="4"/>
      <c r="T3283" s="4"/>
      <c r="U3283" s="4"/>
      <c r="V3283" s="4"/>
      <c r="W3283" s="4"/>
      <c r="X3283" s="4"/>
      <c r="Y3283" s="4"/>
      <c r="Z3283" s="4"/>
      <c r="AA3283" s="4"/>
      <c r="AB3283" s="5"/>
    </row>
    <row r="3284" spans="1:28" x14ac:dyDescent="0.35">
      <c r="A3284" s="3"/>
      <c r="B3284" s="4"/>
      <c r="C3284" s="4"/>
      <c r="D3284" s="4"/>
      <c r="E3284" s="4"/>
      <c r="F3284" s="4"/>
      <c r="G3284" s="4"/>
      <c r="H3284" s="4"/>
      <c r="I3284" s="4"/>
      <c r="J3284" s="4"/>
      <c r="K3284" s="4"/>
      <c r="L3284" s="4"/>
      <c r="M3284" s="4"/>
      <c r="N3284" s="4"/>
      <c r="O3284" s="4"/>
      <c r="P3284" s="4"/>
      <c r="Q3284" s="4"/>
      <c r="R3284" s="4"/>
      <c r="S3284" s="4"/>
      <c r="T3284" s="4"/>
      <c r="U3284" s="4"/>
      <c r="V3284" s="4"/>
      <c r="W3284" s="4"/>
      <c r="X3284" s="4"/>
      <c r="Y3284" s="4"/>
      <c r="Z3284" s="4"/>
      <c r="AA3284" s="4"/>
      <c r="AB3284" s="5"/>
    </row>
    <row r="3285" spans="1:28" x14ac:dyDescent="0.35">
      <c r="A3285" s="3"/>
      <c r="B3285" s="4"/>
      <c r="C3285" s="4"/>
      <c r="D3285" s="4"/>
      <c r="E3285" s="4"/>
      <c r="F3285" s="4"/>
      <c r="G3285" s="4"/>
      <c r="H3285" s="4"/>
      <c r="I3285" s="4"/>
      <c r="J3285" s="4"/>
      <c r="K3285" s="4"/>
      <c r="L3285" s="4"/>
      <c r="M3285" s="4"/>
      <c r="N3285" s="4"/>
      <c r="O3285" s="4"/>
      <c r="P3285" s="4"/>
      <c r="Q3285" s="4"/>
      <c r="R3285" s="4"/>
      <c r="S3285" s="4"/>
      <c r="T3285" s="4"/>
      <c r="U3285" s="4"/>
      <c r="V3285" s="4"/>
      <c r="W3285" s="4"/>
      <c r="X3285" s="4"/>
      <c r="Y3285" s="4"/>
      <c r="Z3285" s="4"/>
      <c r="AA3285" s="4"/>
      <c r="AB3285" s="5"/>
    </row>
    <row r="3286" spans="1:28" x14ac:dyDescent="0.35">
      <c r="A3286" s="3"/>
      <c r="B3286" s="4"/>
      <c r="C3286" s="4"/>
      <c r="D3286" s="4"/>
      <c r="E3286" s="4"/>
      <c r="F3286" s="4"/>
      <c r="G3286" s="4"/>
      <c r="H3286" s="4"/>
      <c r="I3286" s="4"/>
      <c r="J3286" s="4"/>
      <c r="K3286" s="4"/>
      <c r="L3286" s="4"/>
      <c r="M3286" s="4"/>
      <c r="N3286" s="4"/>
      <c r="O3286" s="4"/>
      <c r="P3286" s="4"/>
      <c r="Q3286" s="4"/>
      <c r="R3286" s="4"/>
      <c r="S3286" s="4"/>
      <c r="T3286" s="4"/>
      <c r="U3286" s="4"/>
      <c r="V3286" s="4"/>
      <c r="W3286" s="4"/>
      <c r="X3286" s="4"/>
      <c r="Y3286" s="4"/>
      <c r="Z3286" s="4"/>
      <c r="AA3286" s="4"/>
      <c r="AB3286" s="5"/>
    </row>
    <row r="3287" spans="1:28" x14ac:dyDescent="0.35">
      <c r="A3287" s="3"/>
      <c r="B3287" s="4"/>
      <c r="C3287" s="4"/>
      <c r="D3287" s="4"/>
      <c r="E3287" s="4"/>
      <c r="F3287" s="4"/>
      <c r="G3287" s="4"/>
      <c r="H3287" s="4"/>
      <c r="I3287" s="4"/>
      <c r="J3287" s="4"/>
      <c r="K3287" s="4"/>
      <c r="L3287" s="4"/>
      <c r="M3287" s="4"/>
      <c r="N3287" s="4"/>
      <c r="O3287" s="4"/>
      <c r="P3287" s="4"/>
      <c r="Q3287" s="4"/>
      <c r="R3287" s="4"/>
      <c r="S3287" s="4"/>
      <c r="T3287" s="4"/>
      <c r="U3287" s="4"/>
      <c r="V3287" s="4"/>
      <c r="W3287" s="4"/>
      <c r="X3287" s="4"/>
      <c r="Y3287" s="4"/>
      <c r="Z3287" s="4"/>
      <c r="AA3287" s="4"/>
      <c r="AB3287" s="5"/>
    </row>
    <row r="3288" spans="1:28" x14ac:dyDescent="0.35">
      <c r="A3288" s="3"/>
      <c r="B3288" s="4"/>
      <c r="C3288" s="4"/>
      <c r="D3288" s="4"/>
      <c r="E3288" s="4"/>
      <c r="F3288" s="4"/>
      <c r="G3288" s="4"/>
      <c r="H3288" s="4"/>
      <c r="I3288" s="4"/>
      <c r="J3288" s="4"/>
      <c r="K3288" s="4"/>
      <c r="L3288" s="4"/>
      <c r="M3288" s="4"/>
      <c r="N3288" s="4"/>
      <c r="O3288" s="4"/>
      <c r="P3288" s="4"/>
      <c r="Q3288" s="4"/>
      <c r="R3288" s="4"/>
      <c r="S3288" s="4"/>
      <c r="T3288" s="4"/>
      <c r="U3288" s="4"/>
      <c r="V3288" s="4"/>
      <c r="W3288" s="4"/>
      <c r="X3288" s="4"/>
      <c r="Y3288" s="4"/>
      <c r="Z3288" s="4"/>
      <c r="AA3288" s="4"/>
      <c r="AB3288" s="5"/>
    </row>
    <row r="3289" spans="1:28" x14ac:dyDescent="0.35">
      <c r="A3289" s="3"/>
      <c r="B3289" s="4"/>
      <c r="C3289" s="4"/>
      <c r="D3289" s="4"/>
      <c r="E3289" s="4"/>
      <c r="F3289" s="4"/>
      <c r="G3289" s="4"/>
      <c r="H3289" s="4"/>
      <c r="I3289" s="4"/>
      <c r="J3289" s="4"/>
      <c r="K3289" s="4"/>
      <c r="L3289" s="4"/>
      <c r="M3289" s="4"/>
      <c r="N3289" s="4"/>
      <c r="O3289" s="4"/>
      <c r="P3289" s="4"/>
      <c r="Q3289" s="4"/>
      <c r="R3289" s="4"/>
      <c r="S3289" s="4"/>
      <c r="T3289" s="4"/>
      <c r="U3289" s="4"/>
      <c r="V3289" s="4"/>
      <c r="W3289" s="4"/>
      <c r="X3289" s="4"/>
      <c r="Y3289" s="4"/>
      <c r="Z3289" s="4"/>
      <c r="AA3289" s="4"/>
      <c r="AB3289" s="5"/>
    </row>
    <row r="3290" spans="1:28" x14ac:dyDescent="0.35">
      <c r="A3290" s="3"/>
      <c r="B3290" s="4"/>
      <c r="C3290" s="4"/>
      <c r="D3290" s="4"/>
      <c r="E3290" s="4"/>
      <c r="F3290" s="4"/>
      <c r="G3290" s="4"/>
      <c r="H3290" s="4"/>
      <c r="I3290" s="4"/>
      <c r="J3290" s="4"/>
      <c r="K3290" s="4"/>
      <c r="L3290" s="4"/>
      <c r="M3290" s="4"/>
      <c r="N3290" s="4"/>
      <c r="O3290" s="4"/>
      <c r="P3290" s="4"/>
      <c r="Q3290" s="4"/>
      <c r="R3290" s="4"/>
      <c r="S3290" s="4"/>
      <c r="T3290" s="4"/>
      <c r="U3290" s="4"/>
      <c r="V3290" s="4"/>
      <c r="W3290" s="4"/>
      <c r="X3290" s="4"/>
      <c r="Y3290" s="4"/>
      <c r="Z3290" s="4"/>
      <c r="AA3290" s="4"/>
      <c r="AB3290" s="5"/>
    </row>
    <row r="3291" spans="1:28" x14ac:dyDescent="0.35">
      <c r="A3291" s="3"/>
      <c r="B3291" s="4"/>
      <c r="C3291" s="4"/>
      <c r="D3291" s="4"/>
      <c r="E3291" s="4"/>
      <c r="F3291" s="4"/>
      <c r="G3291" s="4"/>
      <c r="H3291" s="4"/>
      <c r="I3291" s="4"/>
      <c r="J3291" s="4"/>
      <c r="K3291" s="4"/>
      <c r="L3291" s="4"/>
      <c r="M3291" s="4"/>
      <c r="N3291" s="4"/>
      <c r="O3291" s="4"/>
      <c r="P3291" s="4"/>
      <c r="Q3291" s="4"/>
      <c r="R3291" s="4"/>
      <c r="S3291" s="4"/>
      <c r="T3291" s="4"/>
      <c r="U3291" s="4"/>
      <c r="V3291" s="4"/>
      <c r="W3291" s="4"/>
      <c r="X3291" s="4"/>
      <c r="Y3291" s="4"/>
      <c r="Z3291" s="4"/>
      <c r="AA3291" s="4"/>
      <c r="AB3291" s="5"/>
    </row>
    <row r="3292" spans="1:28" x14ac:dyDescent="0.35">
      <c r="A3292" s="3"/>
      <c r="B3292" s="4"/>
      <c r="C3292" s="4"/>
      <c r="D3292" s="4"/>
      <c r="E3292" s="4"/>
      <c r="F3292" s="4"/>
      <c r="G3292" s="4"/>
      <c r="H3292" s="4"/>
      <c r="I3292" s="4"/>
      <c r="J3292" s="4"/>
      <c r="K3292" s="4"/>
      <c r="L3292" s="4"/>
      <c r="M3292" s="4"/>
      <c r="N3292" s="4"/>
      <c r="O3292" s="4"/>
      <c r="P3292" s="4"/>
      <c r="Q3292" s="4"/>
      <c r="R3292" s="4"/>
      <c r="S3292" s="4"/>
      <c r="T3292" s="4"/>
      <c r="U3292" s="4"/>
      <c r="V3292" s="4"/>
      <c r="W3292" s="4"/>
      <c r="X3292" s="4"/>
      <c r="Y3292" s="4"/>
      <c r="Z3292" s="4"/>
      <c r="AA3292" s="4"/>
      <c r="AB3292" s="5"/>
    </row>
    <row r="3293" spans="1:28" x14ac:dyDescent="0.35">
      <c r="A3293" s="3"/>
      <c r="B3293" s="4"/>
      <c r="C3293" s="4"/>
      <c r="D3293" s="4"/>
      <c r="E3293" s="4"/>
      <c r="F3293" s="4"/>
      <c r="G3293" s="4"/>
      <c r="H3293" s="4"/>
      <c r="I3293" s="4"/>
      <c r="J3293" s="4"/>
      <c r="K3293" s="4"/>
      <c r="L3293" s="4"/>
      <c r="M3293" s="4"/>
      <c r="N3293" s="4"/>
      <c r="O3293" s="4"/>
      <c r="P3293" s="4"/>
      <c r="Q3293" s="4"/>
      <c r="R3293" s="4"/>
      <c r="S3293" s="4"/>
      <c r="T3293" s="4"/>
      <c r="U3293" s="4"/>
      <c r="V3293" s="4"/>
      <c r="W3293" s="4"/>
      <c r="X3293" s="4"/>
      <c r="Y3293" s="4"/>
      <c r="Z3293" s="4"/>
      <c r="AA3293" s="4"/>
      <c r="AB3293" s="5"/>
    </row>
    <row r="3294" spans="1:28" x14ac:dyDescent="0.35">
      <c r="A3294" s="3"/>
      <c r="B3294" s="4"/>
      <c r="C3294" s="4"/>
      <c r="D3294" s="4"/>
      <c r="E3294" s="4"/>
      <c r="F3294" s="4"/>
      <c r="G3294" s="4"/>
      <c r="H3294" s="4"/>
      <c r="I3294" s="4"/>
      <c r="J3294" s="4"/>
      <c r="K3294" s="4"/>
      <c r="L3294" s="4"/>
      <c r="M3294" s="4"/>
      <c r="N3294" s="4"/>
      <c r="O3294" s="4"/>
      <c r="P3294" s="4"/>
      <c r="Q3294" s="4"/>
      <c r="R3294" s="4"/>
      <c r="S3294" s="4"/>
      <c r="T3294" s="4"/>
      <c r="U3294" s="4"/>
      <c r="V3294" s="4"/>
      <c r="W3294" s="4"/>
      <c r="X3294" s="4"/>
      <c r="Y3294" s="4"/>
      <c r="Z3294" s="4"/>
      <c r="AA3294" s="4"/>
      <c r="AB3294" s="5"/>
    </row>
    <row r="3295" spans="1:28" x14ac:dyDescent="0.35">
      <c r="A3295" s="3"/>
      <c r="B3295" s="4"/>
      <c r="C3295" s="4"/>
      <c r="D3295" s="4"/>
      <c r="E3295" s="4"/>
      <c r="F3295" s="4"/>
      <c r="G3295" s="4"/>
      <c r="H3295" s="4"/>
      <c r="I3295" s="4"/>
      <c r="J3295" s="4"/>
      <c r="K3295" s="4"/>
      <c r="L3295" s="4"/>
      <c r="M3295" s="4"/>
      <c r="N3295" s="4"/>
      <c r="O3295" s="4"/>
      <c r="P3295" s="4"/>
      <c r="Q3295" s="4"/>
      <c r="R3295" s="4"/>
      <c r="S3295" s="4"/>
      <c r="T3295" s="4"/>
      <c r="U3295" s="4"/>
      <c r="V3295" s="4"/>
      <c r="W3295" s="4"/>
      <c r="X3295" s="4"/>
      <c r="Y3295" s="4"/>
      <c r="Z3295" s="4"/>
      <c r="AA3295" s="4"/>
      <c r="AB3295" s="5"/>
    </row>
    <row r="3296" spans="1:28" x14ac:dyDescent="0.35">
      <c r="A3296" s="3"/>
      <c r="B3296" s="4"/>
      <c r="C3296" s="4"/>
      <c r="D3296" s="4"/>
      <c r="E3296" s="4"/>
      <c r="F3296" s="4"/>
      <c r="G3296" s="4"/>
      <c r="H3296" s="4"/>
      <c r="I3296" s="4"/>
      <c r="J3296" s="4"/>
      <c r="K3296" s="4"/>
      <c r="L3296" s="4"/>
      <c r="M3296" s="4"/>
      <c r="N3296" s="4"/>
      <c r="O3296" s="4"/>
      <c r="P3296" s="4"/>
      <c r="Q3296" s="4"/>
      <c r="R3296" s="4"/>
      <c r="S3296" s="4"/>
      <c r="T3296" s="4"/>
      <c r="U3296" s="4"/>
      <c r="V3296" s="4"/>
      <c r="W3296" s="4"/>
      <c r="X3296" s="4"/>
      <c r="Y3296" s="4"/>
      <c r="Z3296" s="4"/>
      <c r="AA3296" s="4"/>
      <c r="AB3296" s="5"/>
    </row>
    <row r="3297" spans="1:28" x14ac:dyDescent="0.35">
      <c r="A3297" s="3"/>
      <c r="B3297" s="4"/>
      <c r="C3297" s="4"/>
      <c r="D3297" s="4"/>
      <c r="E3297" s="4"/>
      <c r="F3297" s="4"/>
      <c r="G3297" s="4"/>
      <c r="H3297" s="4"/>
      <c r="I3297" s="4"/>
      <c r="J3297" s="4"/>
      <c r="K3297" s="4"/>
      <c r="L3297" s="4"/>
      <c r="M3297" s="4"/>
      <c r="N3297" s="4"/>
      <c r="O3297" s="4"/>
      <c r="P3297" s="4"/>
      <c r="Q3297" s="4"/>
      <c r="R3297" s="4"/>
      <c r="S3297" s="4"/>
      <c r="T3297" s="4"/>
      <c r="U3297" s="4"/>
      <c r="V3297" s="4"/>
      <c r="W3297" s="4"/>
      <c r="X3297" s="4"/>
      <c r="Y3297" s="4"/>
      <c r="Z3297" s="4"/>
      <c r="AA3297" s="4"/>
      <c r="AB3297" s="5"/>
    </row>
    <row r="3298" spans="1:28" x14ac:dyDescent="0.35">
      <c r="A3298" s="3"/>
      <c r="B3298" s="4"/>
      <c r="C3298" s="4"/>
      <c r="D3298" s="4"/>
      <c r="E3298" s="4"/>
      <c r="F3298" s="4"/>
      <c r="G3298" s="4"/>
      <c r="H3298" s="4"/>
      <c r="I3298" s="4"/>
      <c r="J3298" s="4"/>
      <c r="K3298" s="4"/>
      <c r="L3298" s="4"/>
      <c r="M3298" s="4"/>
      <c r="N3298" s="4"/>
      <c r="O3298" s="4"/>
      <c r="P3298" s="4"/>
      <c r="Q3298" s="4"/>
      <c r="R3298" s="4"/>
      <c r="S3298" s="4"/>
      <c r="T3298" s="4"/>
      <c r="U3298" s="4"/>
      <c r="V3298" s="4"/>
      <c r="W3298" s="4"/>
      <c r="X3298" s="4"/>
      <c r="Y3298" s="4"/>
      <c r="Z3298" s="4"/>
      <c r="AA3298" s="4"/>
      <c r="AB3298" s="5"/>
    </row>
    <row r="3299" spans="1:28" x14ac:dyDescent="0.35">
      <c r="A3299" s="3"/>
      <c r="B3299" s="4"/>
      <c r="C3299" s="4"/>
      <c r="D3299" s="4"/>
      <c r="E3299" s="4"/>
      <c r="F3299" s="4"/>
      <c r="G3299" s="4"/>
      <c r="H3299" s="4"/>
      <c r="I3299" s="4"/>
      <c r="J3299" s="4"/>
      <c r="K3299" s="4"/>
      <c r="L3299" s="4"/>
      <c r="M3299" s="4"/>
      <c r="N3299" s="4"/>
      <c r="O3299" s="4"/>
      <c r="P3299" s="4"/>
      <c r="Q3299" s="4"/>
      <c r="R3299" s="4"/>
      <c r="S3299" s="4"/>
      <c r="T3299" s="4"/>
      <c r="U3299" s="4"/>
      <c r="V3299" s="4"/>
      <c r="W3299" s="4"/>
      <c r="X3299" s="4"/>
      <c r="Y3299" s="4"/>
      <c r="Z3299" s="4"/>
      <c r="AA3299" s="4"/>
      <c r="AB3299" s="5"/>
    </row>
    <row r="3300" spans="1:28" x14ac:dyDescent="0.35">
      <c r="A3300" s="3"/>
      <c r="B3300" s="4"/>
      <c r="C3300" s="4"/>
      <c r="D3300" s="4"/>
      <c r="E3300" s="4"/>
      <c r="F3300" s="4"/>
      <c r="G3300" s="4"/>
      <c r="H3300" s="4"/>
      <c r="I3300" s="4"/>
      <c r="J3300" s="4"/>
      <c r="K3300" s="4"/>
      <c r="L3300" s="4"/>
      <c r="M3300" s="4"/>
      <c r="N3300" s="4"/>
      <c r="O3300" s="4"/>
      <c r="P3300" s="4"/>
      <c r="Q3300" s="4"/>
      <c r="R3300" s="4"/>
      <c r="S3300" s="4"/>
      <c r="T3300" s="4"/>
      <c r="U3300" s="4"/>
      <c r="V3300" s="4"/>
      <c r="W3300" s="4"/>
      <c r="X3300" s="4"/>
      <c r="Y3300" s="4"/>
      <c r="Z3300" s="4"/>
      <c r="AA3300" s="4"/>
      <c r="AB3300" s="5"/>
    </row>
    <row r="3301" spans="1:28" x14ac:dyDescent="0.35">
      <c r="A3301" s="3"/>
      <c r="B3301" s="4"/>
      <c r="C3301" s="4"/>
      <c r="D3301" s="4"/>
      <c r="E3301" s="4"/>
      <c r="F3301" s="4"/>
      <c r="G3301" s="4"/>
      <c r="H3301" s="4"/>
      <c r="I3301" s="4"/>
      <c r="J3301" s="4"/>
      <c r="K3301" s="4"/>
      <c r="L3301" s="4"/>
      <c r="M3301" s="4"/>
      <c r="N3301" s="4"/>
      <c r="O3301" s="4"/>
      <c r="P3301" s="4"/>
      <c r="Q3301" s="4"/>
      <c r="R3301" s="4"/>
      <c r="S3301" s="4"/>
      <c r="T3301" s="4"/>
      <c r="U3301" s="4"/>
      <c r="V3301" s="4"/>
      <c r="W3301" s="4"/>
      <c r="X3301" s="4"/>
      <c r="Y3301" s="4"/>
      <c r="Z3301" s="4"/>
      <c r="AA3301" s="4"/>
      <c r="AB3301" s="5"/>
    </row>
    <row r="3302" spans="1:28" x14ac:dyDescent="0.35">
      <c r="A3302" s="3"/>
      <c r="B3302" s="4"/>
      <c r="C3302" s="4"/>
      <c r="D3302" s="4"/>
      <c r="E3302" s="4"/>
      <c r="F3302" s="4"/>
      <c r="G3302" s="4"/>
      <c r="H3302" s="4"/>
      <c r="I3302" s="4"/>
      <c r="J3302" s="4"/>
      <c r="K3302" s="4"/>
      <c r="L3302" s="4"/>
      <c r="M3302" s="4"/>
      <c r="N3302" s="4"/>
      <c r="O3302" s="4"/>
      <c r="P3302" s="4"/>
      <c r="Q3302" s="4"/>
      <c r="R3302" s="4"/>
      <c r="S3302" s="4"/>
      <c r="T3302" s="4"/>
      <c r="U3302" s="4"/>
      <c r="V3302" s="4"/>
      <c r="W3302" s="4"/>
      <c r="X3302" s="4"/>
      <c r="Y3302" s="4"/>
      <c r="Z3302" s="4"/>
      <c r="AA3302" s="4"/>
      <c r="AB3302" s="5"/>
    </row>
    <row r="3303" spans="1:28" x14ac:dyDescent="0.35">
      <c r="A3303" s="3"/>
      <c r="B3303" s="4"/>
      <c r="C3303" s="4"/>
      <c r="D3303" s="4"/>
      <c r="E3303" s="4"/>
      <c r="F3303" s="4"/>
      <c r="G3303" s="4"/>
      <c r="H3303" s="4"/>
      <c r="I3303" s="4"/>
      <c r="J3303" s="4"/>
      <c r="K3303" s="4"/>
      <c r="L3303" s="4"/>
      <c r="M3303" s="4"/>
      <c r="N3303" s="4"/>
      <c r="O3303" s="4"/>
      <c r="P3303" s="4"/>
      <c r="Q3303" s="4"/>
      <c r="R3303" s="4"/>
      <c r="S3303" s="4"/>
      <c r="T3303" s="4"/>
      <c r="U3303" s="4"/>
      <c r="V3303" s="4"/>
      <c r="W3303" s="4"/>
      <c r="X3303" s="4"/>
      <c r="Y3303" s="4"/>
      <c r="Z3303" s="4"/>
      <c r="AA3303" s="4"/>
      <c r="AB3303" s="5"/>
    </row>
    <row r="3304" spans="1:28" x14ac:dyDescent="0.35">
      <c r="A3304" s="3"/>
      <c r="B3304" s="4"/>
      <c r="C3304" s="4"/>
      <c r="D3304" s="4"/>
      <c r="E3304" s="4"/>
      <c r="F3304" s="4"/>
      <c r="G3304" s="4"/>
      <c r="H3304" s="4"/>
      <c r="I3304" s="4"/>
      <c r="J3304" s="4"/>
      <c r="K3304" s="4"/>
      <c r="L3304" s="4"/>
      <c r="M3304" s="4"/>
      <c r="N3304" s="4"/>
      <c r="O3304" s="4"/>
      <c r="P3304" s="4"/>
      <c r="Q3304" s="4"/>
      <c r="R3304" s="4"/>
      <c r="S3304" s="4"/>
      <c r="T3304" s="4"/>
      <c r="U3304" s="4"/>
      <c r="V3304" s="4"/>
      <c r="W3304" s="4"/>
      <c r="X3304" s="4"/>
      <c r="Y3304" s="4"/>
      <c r="Z3304" s="4"/>
      <c r="AA3304" s="4"/>
      <c r="AB3304" s="5"/>
    </row>
    <row r="3305" spans="1:28" x14ac:dyDescent="0.35">
      <c r="A3305" s="3"/>
      <c r="B3305" s="4"/>
      <c r="C3305" s="4"/>
      <c r="D3305" s="4"/>
      <c r="E3305" s="4"/>
      <c r="F3305" s="4"/>
      <c r="G3305" s="4"/>
      <c r="H3305" s="4"/>
      <c r="I3305" s="4"/>
      <c r="J3305" s="4"/>
      <c r="K3305" s="4"/>
      <c r="L3305" s="4"/>
      <c r="M3305" s="4"/>
      <c r="N3305" s="4"/>
      <c r="O3305" s="4"/>
      <c r="P3305" s="4"/>
      <c r="Q3305" s="4"/>
      <c r="R3305" s="4"/>
      <c r="S3305" s="4"/>
      <c r="T3305" s="4"/>
      <c r="U3305" s="4"/>
      <c r="V3305" s="4"/>
      <c r="W3305" s="4"/>
      <c r="X3305" s="4"/>
      <c r="Y3305" s="4"/>
      <c r="Z3305" s="4"/>
      <c r="AA3305" s="4"/>
      <c r="AB3305" s="5"/>
    </row>
    <row r="3306" spans="1:28" x14ac:dyDescent="0.35">
      <c r="A3306" s="3"/>
      <c r="B3306" s="4"/>
      <c r="C3306" s="4"/>
      <c r="D3306" s="4"/>
      <c r="E3306" s="4"/>
      <c r="F3306" s="4"/>
      <c r="G3306" s="4"/>
      <c r="H3306" s="4"/>
      <c r="I3306" s="4"/>
      <c r="J3306" s="4"/>
      <c r="K3306" s="4"/>
      <c r="L3306" s="4"/>
      <c r="M3306" s="4"/>
      <c r="N3306" s="4"/>
      <c r="O3306" s="4"/>
      <c r="P3306" s="4"/>
      <c r="Q3306" s="4"/>
      <c r="R3306" s="4"/>
      <c r="S3306" s="4"/>
      <c r="T3306" s="4"/>
      <c r="U3306" s="4"/>
      <c r="V3306" s="4"/>
      <c r="W3306" s="4"/>
      <c r="X3306" s="4"/>
      <c r="Y3306" s="4"/>
      <c r="Z3306" s="4"/>
      <c r="AA3306" s="4"/>
      <c r="AB3306" s="5"/>
    </row>
    <row r="3307" spans="1:28" x14ac:dyDescent="0.35">
      <c r="A3307" s="3"/>
      <c r="B3307" s="4"/>
      <c r="C3307" s="4"/>
      <c r="D3307" s="4"/>
      <c r="E3307" s="4"/>
      <c r="F3307" s="4"/>
      <c r="G3307" s="4"/>
      <c r="H3307" s="4"/>
      <c r="I3307" s="4"/>
      <c r="J3307" s="4"/>
      <c r="K3307" s="4"/>
      <c r="L3307" s="4"/>
      <c r="M3307" s="4"/>
      <c r="N3307" s="4"/>
      <c r="O3307" s="4"/>
      <c r="P3307" s="4"/>
      <c r="Q3307" s="4"/>
      <c r="R3307" s="4"/>
      <c r="S3307" s="4"/>
      <c r="T3307" s="4"/>
      <c r="U3307" s="4"/>
      <c r="V3307" s="4"/>
      <c r="W3307" s="4"/>
      <c r="X3307" s="4"/>
      <c r="Y3307" s="4"/>
      <c r="Z3307" s="4"/>
      <c r="AA3307" s="4"/>
      <c r="AB3307" s="5"/>
    </row>
    <row r="3308" spans="1:28" x14ac:dyDescent="0.35">
      <c r="A3308" s="3"/>
      <c r="B3308" s="4"/>
      <c r="C3308" s="4"/>
      <c r="D3308" s="4"/>
      <c r="E3308" s="4"/>
      <c r="F3308" s="4"/>
      <c r="G3308" s="4"/>
      <c r="H3308" s="4"/>
      <c r="I3308" s="4"/>
      <c r="J3308" s="4"/>
      <c r="K3308" s="4"/>
      <c r="L3308" s="4"/>
      <c r="M3308" s="4"/>
      <c r="N3308" s="4"/>
      <c r="O3308" s="4"/>
      <c r="P3308" s="4"/>
      <c r="Q3308" s="4"/>
      <c r="R3308" s="4"/>
      <c r="S3308" s="4"/>
      <c r="T3308" s="4"/>
      <c r="U3308" s="4"/>
      <c r="V3308" s="4"/>
      <c r="W3308" s="4"/>
      <c r="X3308" s="4"/>
      <c r="Y3308" s="4"/>
      <c r="Z3308" s="4"/>
      <c r="AA3308" s="4"/>
      <c r="AB3308" s="5"/>
    </row>
    <row r="3309" spans="1:28" x14ac:dyDescent="0.35">
      <c r="A3309" s="3"/>
      <c r="B3309" s="4"/>
      <c r="C3309" s="4"/>
      <c r="D3309" s="4"/>
      <c r="E3309" s="4"/>
      <c r="F3309" s="4"/>
      <c r="G3309" s="4"/>
      <c r="H3309" s="4"/>
      <c r="I3309" s="4"/>
      <c r="J3309" s="4"/>
      <c r="K3309" s="4"/>
      <c r="L3309" s="4"/>
      <c r="M3309" s="4"/>
      <c r="N3309" s="4"/>
      <c r="O3309" s="4"/>
      <c r="P3309" s="4"/>
      <c r="Q3309" s="4"/>
      <c r="R3309" s="4"/>
      <c r="S3309" s="4"/>
      <c r="T3309" s="4"/>
      <c r="U3309" s="4"/>
      <c r="V3309" s="4"/>
      <c r="W3309" s="4"/>
      <c r="X3309" s="4"/>
      <c r="Y3309" s="4"/>
      <c r="Z3309" s="4"/>
      <c r="AA3309" s="4"/>
      <c r="AB3309" s="5"/>
    </row>
    <row r="3310" spans="1:28" x14ac:dyDescent="0.35">
      <c r="A3310" s="3"/>
      <c r="B3310" s="4"/>
      <c r="C3310" s="4"/>
      <c r="D3310" s="4"/>
      <c r="E3310" s="4"/>
      <c r="F3310" s="4"/>
      <c r="G3310" s="4"/>
      <c r="H3310" s="4"/>
      <c r="I3310" s="4"/>
      <c r="J3310" s="4"/>
      <c r="K3310" s="4"/>
      <c r="L3310" s="4"/>
      <c r="M3310" s="4"/>
      <c r="N3310" s="4"/>
      <c r="O3310" s="4"/>
      <c r="P3310" s="4"/>
      <c r="Q3310" s="4"/>
      <c r="R3310" s="4"/>
      <c r="S3310" s="4"/>
      <c r="T3310" s="4"/>
      <c r="U3310" s="4"/>
      <c r="V3310" s="4"/>
      <c r="W3310" s="4"/>
      <c r="X3310" s="4"/>
      <c r="Y3310" s="4"/>
      <c r="Z3310" s="4"/>
      <c r="AA3310" s="4"/>
      <c r="AB3310" s="5"/>
    </row>
    <row r="3311" spans="1:28" x14ac:dyDescent="0.35">
      <c r="A3311" s="3"/>
      <c r="B3311" s="4"/>
      <c r="C3311" s="4"/>
      <c r="D3311" s="4"/>
      <c r="E3311" s="4"/>
      <c r="F3311" s="4"/>
      <c r="G3311" s="4"/>
      <c r="H3311" s="4"/>
      <c r="I3311" s="4"/>
      <c r="J3311" s="4"/>
      <c r="K3311" s="4"/>
      <c r="L3311" s="4"/>
      <c r="M3311" s="4"/>
      <c r="N3311" s="4"/>
      <c r="O3311" s="4"/>
      <c r="P3311" s="4"/>
      <c r="Q3311" s="4"/>
      <c r="R3311" s="4"/>
      <c r="S3311" s="4"/>
      <c r="T3311" s="4"/>
      <c r="U3311" s="4"/>
      <c r="V3311" s="4"/>
      <c r="W3311" s="4"/>
      <c r="X3311" s="4"/>
      <c r="Y3311" s="4"/>
      <c r="Z3311" s="4"/>
      <c r="AA3311" s="4"/>
      <c r="AB3311" s="5"/>
    </row>
    <row r="3312" spans="1:28" x14ac:dyDescent="0.35">
      <c r="A3312" s="3"/>
      <c r="B3312" s="4"/>
      <c r="C3312" s="4"/>
      <c r="D3312" s="4"/>
      <c r="E3312" s="4"/>
      <c r="F3312" s="4"/>
      <c r="G3312" s="4"/>
      <c r="H3312" s="4"/>
      <c r="I3312" s="4"/>
      <c r="J3312" s="4"/>
      <c r="K3312" s="4"/>
      <c r="L3312" s="4"/>
      <c r="M3312" s="4"/>
      <c r="N3312" s="4"/>
      <c r="O3312" s="4"/>
      <c r="P3312" s="4"/>
      <c r="Q3312" s="4"/>
      <c r="R3312" s="4"/>
      <c r="S3312" s="4"/>
      <c r="T3312" s="4"/>
      <c r="U3312" s="4"/>
      <c r="V3312" s="4"/>
      <c r="W3312" s="4"/>
      <c r="X3312" s="4"/>
      <c r="Y3312" s="4"/>
      <c r="Z3312" s="4"/>
      <c r="AA3312" s="4"/>
      <c r="AB3312" s="5"/>
    </row>
    <row r="3313" spans="1:28" x14ac:dyDescent="0.35">
      <c r="A3313" s="3"/>
      <c r="B3313" s="4"/>
      <c r="C3313" s="4"/>
      <c r="D3313" s="4"/>
      <c r="E3313" s="4"/>
      <c r="F3313" s="4"/>
      <c r="G3313" s="4"/>
      <c r="H3313" s="4"/>
      <c r="I3313" s="4"/>
      <c r="J3313" s="4"/>
      <c r="K3313" s="4"/>
      <c r="L3313" s="4"/>
      <c r="M3313" s="4"/>
      <c r="N3313" s="4"/>
      <c r="O3313" s="4"/>
      <c r="P3313" s="4"/>
      <c r="Q3313" s="4"/>
      <c r="R3313" s="4"/>
      <c r="S3313" s="4"/>
      <c r="T3313" s="4"/>
      <c r="U3313" s="4"/>
      <c r="V3313" s="4"/>
      <c r="W3313" s="4"/>
      <c r="X3313" s="4"/>
      <c r="Y3313" s="4"/>
      <c r="Z3313" s="4"/>
      <c r="AA3313" s="4"/>
      <c r="AB3313" s="5"/>
    </row>
    <row r="3314" spans="1:28" x14ac:dyDescent="0.35">
      <c r="A3314" s="3"/>
      <c r="B3314" s="4"/>
      <c r="C3314" s="4"/>
      <c r="D3314" s="4"/>
      <c r="E3314" s="4"/>
      <c r="F3314" s="4"/>
      <c r="G3314" s="4"/>
      <c r="H3314" s="4"/>
      <c r="I3314" s="4"/>
      <c r="J3314" s="4"/>
      <c r="K3314" s="4"/>
      <c r="L3314" s="4"/>
      <c r="M3314" s="4"/>
      <c r="N3314" s="4"/>
      <c r="O3314" s="4"/>
      <c r="P3314" s="4"/>
      <c r="Q3314" s="4"/>
      <c r="R3314" s="4"/>
      <c r="S3314" s="4"/>
      <c r="T3314" s="4"/>
      <c r="U3314" s="4"/>
      <c r="V3314" s="4"/>
      <c r="W3314" s="4"/>
      <c r="X3314" s="4"/>
      <c r="Y3314" s="4"/>
      <c r="Z3314" s="4"/>
      <c r="AA3314" s="4"/>
      <c r="AB3314" s="5"/>
    </row>
    <row r="3315" spans="1:28" x14ac:dyDescent="0.35">
      <c r="A3315" s="3"/>
      <c r="B3315" s="4"/>
      <c r="C3315" s="4"/>
      <c r="D3315" s="4"/>
      <c r="E3315" s="4"/>
      <c r="F3315" s="4"/>
      <c r="G3315" s="4"/>
      <c r="H3315" s="4"/>
      <c r="I3315" s="4"/>
      <c r="J3315" s="4"/>
      <c r="K3315" s="4"/>
      <c r="L3315" s="4"/>
      <c r="M3315" s="4"/>
      <c r="N3315" s="4"/>
      <c r="O3315" s="4"/>
      <c r="P3315" s="4"/>
      <c r="Q3315" s="4"/>
      <c r="R3315" s="4"/>
      <c r="S3315" s="4"/>
      <c r="T3315" s="4"/>
      <c r="U3315" s="4"/>
      <c r="V3315" s="4"/>
      <c r="W3315" s="4"/>
      <c r="X3315" s="4"/>
      <c r="Y3315" s="4"/>
      <c r="Z3315" s="4"/>
      <c r="AA3315" s="4"/>
      <c r="AB3315" s="5"/>
    </row>
    <row r="3316" spans="1:28" x14ac:dyDescent="0.35">
      <c r="A3316" s="3"/>
      <c r="B3316" s="4"/>
      <c r="C3316" s="4"/>
      <c r="D3316" s="4"/>
      <c r="E3316" s="4"/>
      <c r="F3316" s="4"/>
      <c r="G3316" s="4"/>
      <c r="H3316" s="4"/>
      <c r="I3316" s="4"/>
      <c r="J3316" s="4"/>
      <c r="K3316" s="4"/>
      <c r="L3316" s="4"/>
      <c r="M3316" s="4"/>
      <c r="N3316" s="4"/>
      <c r="O3316" s="4"/>
      <c r="P3316" s="4"/>
      <c r="Q3316" s="4"/>
      <c r="R3316" s="4"/>
      <c r="S3316" s="4"/>
      <c r="T3316" s="4"/>
      <c r="U3316" s="4"/>
      <c r="V3316" s="4"/>
      <c r="W3316" s="4"/>
      <c r="X3316" s="4"/>
      <c r="Y3316" s="4"/>
      <c r="Z3316" s="4"/>
      <c r="AA3316" s="4"/>
      <c r="AB3316" s="5"/>
    </row>
    <row r="3317" spans="1:28" x14ac:dyDescent="0.35">
      <c r="A3317" s="3"/>
      <c r="B3317" s="4"/>
      <c r="C3317" s="4"/>
      <c r="D3317" s="4"/>
      <c r="E3317" s="4"/>
      <c r="F3317" s="4"/>
      <c r="G3317" s="4"/>
      <c r="H3317" s="4"/>
      <c r="I3317" s="4"/>
      <c r="J3317" s="4"/>
      <c r="K3317" s="4"/>
      <c r="L3317" s="4"/>
      <c r="M3317" s="4"/>
      <c r="N3317" s="4"/>
      <c r="O3317" s="4"/>
      <c r="P3317" s="4"/>
      <c r="Q3317" s="4"/>
      <c r="R3317" s="4"/>
      <c r="S3317" s="4"/>
      <c r="T3317" s="4"/>
      <c r="U3317" s="4"/>
      <c r="V3317" s="4"/>
      <c r="W3317" s="4"/>
      <c r="X3317" s="4"/>
      <c r="Y3317" s="4"/>
      <c r="Z3317" s="4"/>
      <c r="AA3317" s="4"/>
      <c r="AB3317" s="5"/>
    </row>
    <row r="3318" spans="1:28" x14ac:dyDescent="0.35">
      <c r="A3318" s="3"/>
      <c r="B3318" s="4"/>
      <c r="C3318" s="4"/>
      <c r="D3318" s="4"/>
      <c r="E3318" s="4"/>
      <c r="F3318" s="4"/>
      <c r="G3318" s="4"/>
      <c r="H3318" s="4"/>
      <c r="I3318" s="4"/>
      <c r="J3318" s="4"/>
      <c r="K3318" s="4"/>
      <c r="L3318" s="4"/>
      <c r="M3318" s="4"/>
      <c r="N3318" s="4"/>
      <c r="O3318" s="4"/>
      <c r="P3318" s="4"/>
      <c r="Q3318" s="4"/>
      <c r="R3318" s="4"/>
      <c r="S3318" s="4"/>
      <c r="T3318" s="4"/>
      <c r="U3318" s="4"/>
      <c r="V3318" s="4"/>
      <c r="W3318" s="4"/>
      <c r="X3318" s="4"/>
      <c r="Y3318" s="4"/>
      <c r="Z3318" s="4"/>
      <c r="AA3318" s="4"/>
      <c r="AB3318" s="5"/>
    </row>
    <row r="3319" spans="1:28" x14ac:dyDescent="0.35">
      <c r="A3319" s="3"/>
      <c r="B3319" s="4"/>
      <c r="C3319" s="4"/>
      <c r="D3319" s="4"/>
      <c r="E3319" s="4"/>
      <c r="F3319" s="4"/>
      <c r="G3319" s="4"/>
      <c r="H3319" s="4"/>
      <c r="I3319" s="4"/>
      <c r="J3319" s="4"/>
      <c r="K3319" s="4"/>
      <c r="L3319" s="4"/>
      <c r="M3319" s="4"/>
      <c r="N3319" s="4"/>
      <c r="O3319" s="4"/>
      <c r="P3319" s="4"/>
      <c r="Q3319" s="4"/>
      <c r="R3319" s="4"/>
      <c r="S3319" s="4"/>
      <c r="T3319" s="4"/>
      <c r="U3319" s="4"/>
      <c r="V3319" s="4"/>
      <c r="W3319" s="4"/>
      <c r="X3319" s="4"/>
      <c r="Y3319" s="4"/>
      <c r="Z3319" s="4"/>
      <c r="AA3319" s="4"/>
      <c r="AB3319" s="5"/>
    </row>
    <row r="3320" spans="1:28" x14ac:dyDescent="0.35">
      <c r="A3320" s="3"/>
      <c r="B3320" s="4"/>
      <c r="C3320" s="4"/>
      <c r="D3320" s="4"/>
      <c r="E3320" s="4"/>
      <c r="F3320" s="4"/>
      <c r="G3320" s="4"/>
      <c r="H3320" s="4"/>
      <c r="I3320" s="4"/>
      <c r="J3320" s="4"/>
      <c r="K3320" s="4"/>
      <c r="L3320" s="4"/>
      <c r="M3320" s="4"/>
      <c r="N3320" s="4"/>
      <c r="O3320" s="4"/>
      <c r="P3320" s="4"/>
      <c r="Q3320" s="4"/>
      <c r="R3320" s="4"/>
      <c r="S3320" s="4"/>
      <c r="T3320" s="4"/>
      <c r="U3320" s="4"/>
      <c r="V3320" s="4"/>
      <c r="W3320" s="4"/>
      <c r="X3320" s="4"/>
      <c r="Y3320" s="4"/>
      <c r="Z3320" s="4"/>
      <c r="AA3320" s="4"/>
      <c r="AB3320" s="5"/>
    </row>
    <row r="3321" spans="1:28" x14ac:dyDescent="0.35">
      <c r="A3321" s="3"/>
      <c r="B3321" s="4"/>
      <c r="C3321" s="4"/>
      <c r="D3321" s="4"/>
      <c r="E3321" s="4"/>
      <c r="F3321" s="4"/>
      <c r="G3321" s="4"/>
      <c r="H3321" s="4"/>
      <c r="I3321" s="4"/>
      <c r="J3321" s="4"/>
      <c r="K3321" s="4"/>
      <c r="L3321" s="4"/>
      <c r="M3321" s="4"/>
      <c r="N3321" s="4"/>
      <c r="O3321" s="4"/>
      <c r="P3321" s="4"/>
      <c r="Q3321" s="4"/>
      <c r="R3321" s="4"/>
      <c r="S3321" s="4"/>
      <c r="T3321" s="4"/>
      <c r="U3321" s="4"/>
      <c r="V3321" s="4"/>
      <c r="W3321" s="4"/>
      <c r="X3321" s="4"/>
      <c r="Y3321" s="4"/>
      <c r="Z3321" s="4"/>
      <c r="AA3321" s="4"/>
      <c r="AB3321" s="5"/>
    </row>
    <row r="3322" spans="1:28" x14ac:dyDescent="0.35">
      <c r="A3322" s="3"/>
      <c r="B3322" s="4"/>
      <c r="C3322" s="4"/>
      <c r="D3322" s="4"/>
      <c r="E3322" s="4"/>
      <c r="F3322" s="4"/>
      <c r="G3322" s="4"/>
      <c r="H3322" s="4"/>
      <c r="I3322" s="4"/>
      <c r="J3322" s="4"/>
      <c r="K3322" s="4"/>
      <c r="L3322" s="4"/>
      <c r="M3322" s="4"/>
      <c r="N3322" s="4"/>
      <c r="O3322" s="4"/>
      <c r="P3322" s="4"/>
      <c r="Q3322" s="4"/>
      <c r="R3322" s="4"/>
      <c r="S3322" s="4"/>
      <c r="T3322" s="4"/>
      <c r="U3322" s="4"/>
      <c r="V3322" s="4"/>
      <c r="W3322" s="4"/>
      <c r="X3322" s="4"/>
      <c r="Y3322" s="4"/>
      <c r="Z3322" s="4"/>
      <c r="AA3322" s="4"/>
      <c r="AB3322" s="5"/>
    </row>
    <row r="3323" spans="1:28" x14ac:dyDescent="0.35">
      <c r="A3323" s="3"/>
      <c r="B3323" s="4"/>
      <c r="C3323" s="4"/>
      <c r="D3323" s="4"/>
      <c r="E3323" s="4"/>
      <c r="F3323" s="4"/>
      <c r="G3323" s="4"/>
      <c r="H3323" s="4"/>
      <c r="I3323" s="4"/>
      <c r="J3323" s="4"/>
      <c r="K3323" s="4"/>
      <c r="L3323" s="4"/>
      <c r="M3323" s="4"/>
      <c r="N3323" s="4"/>
      <c r="O3323" s="4"/>
      <c r="P3323" s="4"/>
      <c r="Q3323" s="4"/>
      <c r="R3323" s="4"/>
      <c r="S3323" s="4"/>
      <c r="T3323" s="4"/>
      <c r="U3323" s="4"/>
      <c r="V3323" s="4"/>
      <c r="W3323" s="4"/>
      <c r="X3323" s="4"/>
      <c r="Y3323" s="4"/>
      <c r="Z3323" s="4"/>
      <c r="AA3323" s="4"/>
      <c r="AB3323" s="5"/>
    </row>
    <row r="3324" spans="1:28" x14ac:dyDescent="0.35">
      <c r="A3324" s="3"/>
      <c r="B3324" s="4"/>
      <c r="C3324" s="4"/>
      <c r="D3324" s="4"/>
      <c r="E3324" s="4"/>
      <c r="F3324" s="4"/>
      <c r="G3324" s="4"/>
      <c r="H3324" s="4"/>
      <c r="I3324" s="4"/>
      <c r="J3324" s="4"/>
      <c r="K3324" s="4"/>
      <c r="L3324" s="4"/>
      <c r="M3324" s="4"/>
      <c r="N3324" s="4"/>
      <c r="O3324" s="4"/>
      <c r="P3324" s="4"/>
      <c r="Q3324" s="4"/>
      <c r="R3324" s="4"/>
      <c r="S3324" s="4"/>
      <c r="T3324" s="4"/>
      <c r="U3324" s="4"/>
      <c r="V3324" s="4"/>
      <c r="W3324" s="4"/>
      <c r="X3324" s="4"/>
      <c r="Y3324" s="4"/>
      <c r="Z3324" s="4"/>
      <c r="AA3324" s="4"/>
      <c r="AB3324" s="5"/>
    </row>
    <row r="3325" spans="1:28" x14ac:dyDescent="0.35">
      <c r="A3325" s="3"/>
      <c r="B3325" s="4"/>
      <c r="C3325" s="4"/>
      <c r="D3325" s="4"/>
      <c r="E3325" s="4"/>
      <c r="F3325" s="4"/>
      <c r="G3325" s="4"/>
      <c r="H3325" s="4"/>
      <c r="I3325" s="4"/>
      <c r="J3325" s="4"/>
      <c r="K3325" s="4"/>
      <c r="L3325" s="4"/>
      <c r="M3325" s="4"/>
      <c r="N3325" s="4"/>
      <c r="O3325" s="4"/>
      <c r="P3325" s="4"/>
      <c r="Q3325" s="4"/>
      <c r="R3325" s="4"/>
      <c r="S3325" s="4"/>
      <c r="T3325" s="4"/>
      <c r="U3325" s="4"/>
      <c r="V3325" s="4"/>
      <c r="W3325" s="4"/>
      <c r="X3325" s="4"/>
      <c r="Y3325" s="4"/>
      <c r="Z3325" s="4"/>
      <c r="AA3325" s="4"/>
      <c r="AB3325" s="5"/>
    </row>
    <row r="3326" spans="1:28" x14ac:dyDescent="0.35">
      <c r="A3326" s="3"/>
      <c r="B3326" s="4"/>
      <c r="C3326" s="4"/>
      <c r="D3326" s="4"/>
      <c r="E3326" s="4"/>
      <c r="F3326" s="4"/>
      <c r="G3326" s="4"/>
      <c r="H3326" s="4"/>
      <c r="I3326" s="4"/>
      <c r="J3326" s="4"/>
      <c r="K3326" s="4"/>
      <c r="L3326" s="4"/>
      <c r="M3326" s="4"/>
      <c r="N3326" s="4"/>
      <c r="O3326" s="4"/>
      <c r="P3326" s="4"/>
      <c r="Q3326" s="4"/>
      <c r="R3326" s="4"/>
      <c r="S3326" s="4"/>
      <c r="T3326" s="4"/>
      <c r="U3326" s="4"/>
      <c r="V3326" s="4"/>
      <c r="W3326" s="4"/>
      <c r="X3326" s="4"/>
      <c r="Y3326" s="4"/>
      <c r="Z3326" s="4"/>
      <c r="AA3326" s="4"/>
      <c r="AB3326" s="5"/>
    </row>
    <row r="3327" spans="1:28" x14ac:dyDescent="0.35">
      <c r="A3327" s="3"/>
      <c r="B3327" s="4"/>
      <c r="C3327" s="4"/>
      <c r="D3327" s="4"/>
      <c r="E3327" s="4"/>
      <c r="F3327" s="4"/>
      <c r="G3327" s="4"/>
      <c r="H3327" s="4"/>
      <c r="I3327" s="4"/>
      <c r="J3327" s="4"/>
      <c r="K3327" s="4"/>
      <c r="L3327" s="4"/>
      <c r="M3327" s="4"/>
      <c r="N3327" s="4"/>
      <c r="O3327" s="4"/>
      <c r="P3327" s="4"/>
      <c r="Q3327" s="4"/>
      <c r="R3327" s="4"/>
      <c r="S3327" s="4"/>
      <c r="T3327" s="4"/>
      <c r="U3327" s="4"/>
      <c r="V3327" s="4"/>
      <c r="W3327" s="4"/>
      <c r="X3327" s="4"/>
      <c r="Y3327" s="4"/>
      <c r="Z3327" s="4"/>
      <c r="AA3327" s="4"/>
      <c r="AB3327" s="5"/>
    </row>
    <row r="3328" spans="1:28" x14ac:dyDescent="0.35">
      <c r="A3328" s="3"/>
      <c r="B3328" s="4"/>
      <c r="C3328" s="4"/>
      <c r="D3328" s="4"/>
      <c r="E3328" s="4"/>
      <c r="F3328" s="4"/>
      <c r="G3328" s="4"/>
      <c r="H3328" s="4"/>
      <c r="I3328" s="4"/>
      <c r="J3328" s="4"/>
      <c r="K3328" s="4"/>
      <c r="L3328" s="4"/>
      <c r="M3328" s="4"/>
      <c r="N3328" s="4"/>
      <c r="O3328" s="4"/>
      <c r="P3328" s="4"/>
      <c r="Q3328" s="4"/>
      <c r="R3328" s="4"/>
      <c r="S3328" s="4"/>
      <c r="T3328" s="4"/>
      <c r="U3328" s="4"/>
      <c r="V3328" s="4"/>
      <c r="W3328" s="4"/>
      <c r="X3328" s="4"/>
      <c r="Y3328" s="4"/>
      <c r="Z3328" s="4"/>
      <c r="AA3328" s="4"/>
      <c r="AB3328" s="5"/>
    </row>
    <row r="3329" spans="1:28" x14ac:dyDescent="0.35">
      <c r="A3329" s="3"/>
      <c r="B3329" s="4"/>
      <c r="C3329" s="4"/>
      <c r="D3329" s="4"/>
      <c r="E3329" s="4"/>
      <c r="F3329" s="4"/>
      <c r="G3329" s="4"/>
      <c r="H3329" s="4"/>
      <c r="I3329" s="4"/>
      <c r="J3329" s="4"/>
      <c r="K3329" s="4"/>
      <c r="L3329" s="4"/>
      <c r="M3329" s="4"/>
      <c r="N3329" s="4"/>
      <c r="O3329" s="4"/>
      <c r="P3329" s="4"/>
      <c r="Q3329" s="4"/>
      <c r="R3329" s="4"/>
      <c r="S3329" s="4"/>
      <c r="T3329" s="4"/>
      <c r="U3329" s="4"/>
      <c r="V3329" s="4"/>
      <c r="W3329" s="4"/>
      <c r="X3329" s="4"/>
      <c r="Y3329" s="4"/>
      <c r="Z3329" s="4"/>
      <c r="AA3329" s="4"/>
      <c r="AB3329" s="5"/>
    </row>
    <row r="3330" spans="1:28" x14ac:dyDescent="0.35">
      <c r="A3330" s="3"/>
      <c r="B3330" s="4"/>
      <c r="C3330" s="4"/>
      <c r="D3330" s="4"/>
      <c r="E3330" s="4"/>
      <c r="F3330" s="4"/>
      <c r="G3330" s="4"/>
      <c r="H3330" s="4"/>
      <c r="I3330" s="4"/>
      <c r="J3330" s="4"/>
      <c r="K3330" s="4"/>
      <c r="L3330" s="4"/>
      <c r="M3330" s="4"/>
      <c r="N3330" s="4"/>
      <c r="O3330" s="4"/>
      <c r="P3330" s="4"/>
      <c r="Q3330" s="4"/>
      <c r="R3330" s="4"/>
      <c r="S3330" s="4"/>
      <c r="T3330" s="4"/>
      <c r="U3330" s="4"/>
      <c r="V3330" s="4"/>
      <c r="W3330" s="4"/>
      <c r="X3330" s="4"/>
      <c r="Y3330" s="4"/>
      <c r="Z3330" s="4"/>
      <c r="AA3330" s="4"/>
      <c r="AB3330" s="5"/>
    </row>
    <row r="3331" spans="1:28" x14ac:dyDescent="0.35">
      <c r="A3331" s="3"/>
      <c r="B3331" s="4"/>
      <c r="C3331" s="4"/>
      <c r="D3331" s="4"/>
      <c r="E3331" s="4"/>
      <c r="F3331" s="4"/>
      <c r="G3331" s="4"/>
      <c r="H3331" s="4"/>
      <c r="I3331" s="4"/>
      <c r="J3331" s="4"/>
      <c r="K3331" s="4"/>
      <c r="L3331" s="4"/>
      <c r="M3331" s="4"/>
      <c r="N3331" s="4"/>
      <c r="O3331" s="4"/>
      <c r="P3331" s="4"/>
      <c r="Q3331" s="4"/>
      <c r="R3331" s="4"/>
      <c r="S3331" s="4"/>
      <c r="T3331" s="4"/>
      <c r="U3331" s="4"/>
      <c r="V3331" s="4"/>
      <c r="W3331" s="4"/>
      <c r="X3331" s="4"/>
      <c r="Y3331" s="4"/>
      <c r="Z3331" s="4"/>
      <c r="AA3331" s="4"/>
      <c r="AB3331" s="5"/>
    </row>
    <row r="3332" spans="1:28" x14ac:dyDescent="0.35">
      <c r="A3332" s="3"/>
      <c r="B3332" s="4"/>
      <c r="C3332" s="4"/>
      <c r="D3332" s="4"/>
      <c r="E3332" s="4"/>
      <c r="F3332" s="4"/>
      <c r="G3332" s="4"/>
      <c r="H3332" s="4"/>
      <c r="I3332" s="4"/>
      <c r="J3332" s="4"/>
      <c r="K3332" s="4"/>
      <c r="L3332" s="4"/>
      <c r="M3332" s="4"/>
      <c r="N3332" s="4"/>
      <c r="O3332" s="4"/>
      <c r="P3332" s="4"/>
      <c r="Q3332" s="4"/>
      <c r="R3332" s="4"/>
      <c r="S3332" s="4"/>
      <c r="T3332" s="4"/>
      <c r="U3332" s="4"/>
      <c r="V3332" s="4"/>
      <c r="W3332" s="4"/>
      <c r="X3332" s="4"/>
      <c r="Y3332" s="4"/>
      <c r="Z3332" s="4"/>
      <c r="AA3332" s="4"/>
      <c r="AB3332" s="5"/>
    </row>
    <row r="3333" spans="1:28" x14ac:dyDescent="0.35">
      <c r="A3333" s="3"/>
      <c r="B3333" s="4"/>
      <c r="C3333" s="4"/>
      <c r="D3333" s="4"/>
      <c r="E3333" s="4"/>
      <c r="F3333" s="4"/>
      <c r="G3333" s="4"/>
      <c r="H3333" s="4"/>
      <c r="I3333" s="4"/>
      <c r="J3333" s="4"/>
      <c r="K3333" s="4"/>
      <c r="L3333" s="4"/>
      <c r="M3333" s="4"/>
      <c r="N3333" s="4"/>
      <c r="O3333" s="4"/>
      <c r="P3333" s="4"/>
      <c r="Q3333" s="4"/>
      <c r="R3333" s="4"/>
      <c r="S3333" s="4"/>
      <c r="T3333" s="4"/>
      <c r="U3333" s="4"/>
      <c r="V3333" s="4"/>
      <c r="W3333" s="4"/>
      <c r="X3333" s="4"/>
      <c r="Y3333" s="4"/>
      <c r="Z3333" s="4"/>
      <c r="AA3333" s="4"/>
      <c r="AB3333" s="5"/>
    </row>
    <row r="3334" spans="1:28" x14ac:dyDescent="0.35">
      <c r="A3334" s="3"/>
      <c r="B3334" s="4"/>
      <c r="C3334" s="4"/>
      <c r="D3334" s="4"/>
      <c r="E3334" s="4"/>
      <c r="F3334" s="4"/>
      <c r="G3334" s="4"/>
      <c r="H3334" s="4"/>
      <c r="I3334" s="4"/>
      <c r="J3334" s="4"/>
      <c r="K3334" s="4"/>
      <c r="L3334" s="4"/>
      <c r="M3334" s="4"/>
      <c r="N3334" s="4"/>
      <c r="O3334" s="4"/>
      <c r="P3334" s="4"/>
      <c r="Q3334" s="4"/>
      <c r="R3334" s="4"/>
      <c r="S3334" s="4"/>
      <c r="T3334" s="4"/>
      <c r="U3334" s="4"/>
      <c r="V3334" s="4"/>
      <c r="W3334" s="4"/>
      <c r="X3334" s="4"/>
      <c r="Y3334" s="4"/>
      <c r="Z3334" s="4"/>
      <c r="AA3334" s="4"/>
      <c r="AB3334" s="5"/>
    </row>
    <row r="3335" spans="1:28" x14ac:dyDescent="0.35">
      <c r="A3335" s="3"/>
      <c r="B3335" s="4"/>
      <c r="C3335" s="4"/>
      <c r="D3335" s="4"/>
      <c r="E3335" s="4"/>
      <c r="F3335" s="4"/>
      <c r="G3335" s="4"/>
      <c r="H3335" s="4"/>
      <c r="I3335" s="4"/>
      <c r="J3335" s="4"/>
      <c r="K3335" s="4"/>
      <c r="L3335" s="4"/>
      <c r="M3335" s="4"/>
      <c r="N3335" s="4"/>
      <c r="O3335" s="4"/>
      <c r="P3335" s="4"/>
      <c r="Q3335" s="4"/>
      <c r="R3335" s="4"/>
      <c r="S3335" s="4"/>
      <c r="T3335" s="4"/>
      <c r="U3335" s="4"/>
      <c r="V3335" s="4"/>
      <c r="W3335" s="4"/>
      <c r="X3335" s="4"/>
      <c r="Y3335" s="4"/>
      <c r="Z3335" s="4"/>
      <c r="AA3335" s="4"/>
      <c r="AB3335" s="5"/>
    </row>
    <row r="3336" spans="1:28" x14ac:dyDescent="0.35">
      <c r="A3336" s="3"/>
      <c r="B3336" s="4"/>
      <c r="C3336" s="4"/>
      <c r="D3336" s="4"/>
      <c r="E3336" s="4"/>
      <c r="F3336" s="4"/>
      <c r="G3336" s="4"/>
      <c r="H3336" s="4"/>
      <c r="I3336" s="4"/>
      <c r="J3336" s="4"/>
      <c r="K3336" s="4"/>
      <c r="L3336" s="4"/>
      <c r="M3336" s="4"/>
      <c r="N3336" s="4"/>
      <c r="O3336" s="4"/>
      <c r="P3336" s="4"/>
      <c r="Q3336" s="4"/>
      <c r="R3336" s="4"/>
      <c r="S3336" s="4"/>
      <c r="T3336" s="4"/>
      <c r="U3336" s="4"/>
      <c r="V3336" s="4"/>
      <c r="W3336" s="4"/>
      <c r="X3336" s="4"/>
      <c r="Y3336" s="4"/>
      <c r="Z3336" s="4"/>
      <c r="AA3336" s="4"/>
      <c r="AB3336" s="5"/>
    </row>
    <row r="3337" spans="1:28" x14ac:dyDescent="0.35">
      <c r="A3337" s="3"/>
      <c r="B3337" s="4"/>
      <c r="C3337" s="4"/>
      <c r="D3337" s="4"/>
      <c r="E3337" s="4"/>
      <c r="F3337" s="4"/>
      <c r="G3337" s="4"/>
      <c r="H3337" s="4"/>
      <c r="I3337" s="4"/>
      <c r="J3337" s="4"/>
      <c r="K3337" s="4"/>
      <c r="L3337" s="4"/>
      <c r="M3337" s="4"/>
      <c r="N3337" s="4"/>
      <c r="O3337" s="4"/>
      <c r="P3337" s="4"/>
      <c r="Q3337" s="4"/>
      <c r="R3337" s="4"/>
      <c r="S3337" s="4"/>
      <c r="T3337" s="4"/>
      <c r="U3337" s="4"/>
      <c r="V3337" s="4"/>
      <c r="W3337" s="4"/>
      <c r="X3337" s="4"/>
      <c r="Y3337" s="4"/>
      <c r="Z3337" s="4"/>
      <c r="AA3337" s="4"/>
      <c r="AB3337" s="5"/>
    </row>
    <row r="3338" spans="1:28" x14ac:dyDescent="0.35">
      <c r="A3338" s="3"/>
      <c r="B3338" s="4"/>
      <c r="C3338" s="4"/>
      <c r="D3338" s="4"/>
      <c r="E3338" s="4"/>
      <c r="F3338" s="4"/>
      <c r="G3338" s="4"/>
      <c r="H3338" s="4"/>
      <c r="I3338" s="4"/>
      <c r="J3338" s="4"/>
      <c r="K3338" s="4"/>
      <c r="L3338" s="4"/>
      <c r="M3338" s="4"/>
      <c r="N3338" s="4"/>
      <c r="O3338" s="4"/>
      <c r="P3338" s="4"/>
      <c r="Q3338" s="4"/>
      <c r="R3338" s="4"/>
      <c r="S3338" s="4"/>
      <c r="T3338" s="4"/>
      <c r="U3338" s="4"/>
      <c r="V3338" s="4"/>
      <c r="W3338" s="4"/>
      <c r="X3338" s="4"/>
      <c r="Y3338" s="4"/>
      <c r="Z3338" s="4"/>
      <c r="AA3338" s="4"/>
      <c r="AB3338" s="5"/>
    </row>
    <row r="3339" spans="1:28" x14ac:dyDescent="0.35">
      <c r="A3339" s="3"/>
      <c r="B3339" s="4"/>
      <c r="C3339" s="4"/>
      <c r="D3339" s="4"/>
      <c r="E3339" s="4"/>
      <c r="F3339" s="4"/>
      <c r="G3339" s="4"/>
      <c r="H3339" s="4"/>
      <c r="I3339" s="4"/>
      <c r="J3339" s="4"/>
      <c r="K3339" s="4"/>
      <c r="L3339" s="4"/>
      <c r="M3339" s="4"/>
      <c r="N3339" s="4"/>
      <c r="O3339" s="4"/>
      <c r="P3339" s="4"/>
      <c r="Q3339" s="4"/>
      <c r="R3339" s="4"/>
      <c r="S3339" s="4"/>
      <c r="T3339" s="4"/>
      <c r="U3339" s="4"/>
      <c r="V3339" s="4"/>
      <c r="W3339" s="4"/>
      <c r="X3339" s="4"/>
      <c r="Y3339" s="4"/>
      <c r="Z3339" s="4"/>
      <c r="AA3339" s="4"/>
      <c r="AB3339" s="5"/>
    </row>
    <row r="3340" spans="1:28" x14ac:dyDescent="0.35">
      <c r="A3340" s="3"/>
      <c r="B3340" s="4"/>
      <c r="C3340" s="4"/>
      <c r="D3340" s="4"/>
      <c r="E3340" s="4"/>
      <c r="F3340" s="4"/>
      <c r="G3340" s="4"/>
      <c r="H3340" s="4"/>
      <c r="I3340" s="4"/>
      <c r="J3340" s="4"/>
      <c r="K3340" s="4"/>
      <c r="L3340" s="4"/>
      <c r="M3340" s="4"/>
      <c r="N3340" s="4"/>
      <c r="O3340" s="4"/>
      <c r="P3340" s="4"/>
      <c r="Q3340" s="4"/>
      <c r="R3340" s="4"/>
      <c r="S3340" s="4"/>
      <c r="T3340" s="4"/>
      <c r="U3340" s="4"/>
      <c r="V3340" s="4"/>
      <c r="W3340" s="4"/>
      <c r="X3340" s="4"/>
      <c r="Y3340" s="4"/>
      <c r="Z3340" s="4"/>
      <c r="AA3340" s="4"/>
      <c r="AB3340" s="5"/>
    </row>
    <row r="3341" spans="1:28" x14ac:dyDescent="0.35">
      <c r="A3341" s="3"/>
      <c r="B3341" s="4"/>
      <c r="C3341" s="4"/>
      <c r="D3341" s="4"/>
      <c r="E3341" s="4"/>
      <c r="F3341" s="4"/>
      <c r="G3341" s="4"/>
      <c r="H3341" s="4"/>
      <c r="I3341" s="4"/>
      <c r="J3341" s="4"/>
      <c r="K3341" s="4"/>
      <c r="L3341" s="4"/>
      <c r="M3341" s="4"/>
      <c r="N3341" s="4"/>
      <c r="O3341" s="4"/>
      <c r="P3341" s="4"/>
      <c r="Q3341" s="4"/>
      <c r="R3341" s="4"/>
      <c r="S3341" s="4"/>
      <c r="T3341" s="4"/>
      <c r="U3341" s="4"/>
      <c r="V3341" s="4"/>
      <c r="W3341" s="4"/>
      <c r="X3341" s="4"/>
      <c r="Y3341" s="4"/>
      <c r="Z3341" s="4"/>
      <c r="AA3341" s="4"/>
      <c r="AB3341" s="5"/>
    </row>
    <row r="3342" spans="1:28" x14ac:dyDescent="0.35">
      <c r="A3342" s="3"/>
      <c r="B3342" s="4"/>
      <c r="C3342" s="4"/>
      <c r="D3342" s="4"/>
      <c r="E3342" s="4"/>
      <c r="F3342" s="4"/>
      <c r="G3342" s="4"/>
      <c r="H3342" s="4"/>
      <c r="I3342" s="4"/>
      <c r="J3342" s="4"/>
      <c r="K3342" s="4"/>
      <c r="L3342" s="4"/>
      <c r="M3342" s="4"/>
      <c r="N3342" s="4"/>
      <c r="O3342" s="4"/>
      <c r="P3342" s="4"/>
      <c r="Q3342" s="4"/>
      <c r="R3342" s="4"/>
      <c r="S3342" s="4"/>
      <c r="T3342" s="4"/>
      <c r="U3342" s="4"/>
      <c r="V3342" s="4"/>
      <c r="W3342" s="4"/>
      <c r="X3342" s="4"/>
      <c r="Y3342" s="4"/>
      <c r="Z3342" s="4"/>
      <c r="AA3342" s="4"/>
      <c r="AB3342" s="5"/>
    </row>
    <row r="3343" spans="1:28" x14ac:dyDescent="0.35">
      <c r="A3343" s="3"/>
      <c r="B3343" s="4"/>
      <c r="C3343" s="4"/>
      <c r="D3343" s="4"/>
      <c r="E3343" s="4"/>
      <c r="F3343" s="4"/>
      <c r="G3343" s="4"/>
      <c r="H3343" s="4"/>
      <c r="I3343" s="4"/>
      <c r="J3343" s="4"/>
      <c r="K3343" s="4"/>
      <c r="L3343" s="4"/>
      <c r="M3343" s="4"/>
      <c r="N3343" s="4"/>
      <c r="O3343" s="4"/>
      <c r="P3343" s="4"/>
      <c r="Q3343" s="4"/>
      <c r="R3343" s="4"/>
      <c r="S3343" s="4"/>
      <c r="T3343" s="4"/>
      <c r="U3343" s="4"/>
      <c r="V3343" s="4"/>
      <c r="W3343" s="4"/>
      <c r="X3343" s="4"/>
      <c r="Y3343" s="4"/>
      <c r="Z3343" s="4"/>
      <c r="AA3343" s="4"/>
      <c r="AB3343" s="5"/>
    </row>
    <row r="3344" spans="1:28" x14ac:dyDescent="0.35">
      <c r="A3344" s="3"/>
      <c r="B3344" s="4"/>
      <c r="C3344" s="4"/>
      <c r="D3344" s="4"/>
      <c r="E3344" s="4"/>
      <c r="F3344" s="4"/>
      <c r="G3344" s="4"/>
      <c r="H3344" s="4"/>
      <c r="I3344" s="4"/>
      <c r="J3344" s="4"/>
      <c r="K3344" s="4"/>
      <c r="L3344" s="4"/>
      <c r="M3344" s="4"/>
      <c r="N3344" s="4"/>
      <c r="O3344" s="4"/>
      <c r="P3344" s="4"/>
      <c r="Q3344" s="4"/>
      <c r="R3344" s="4"/>
      <c r="S3344" s="4"/>
      <c r="T3344" s="4"/>
      <c r="U3344" s="4"/>
      <c r="V3344" s="4"/>
      <c r="W3344" s="4"/>
      <c r="X3344" s="4"/>
      <c r="Y3344" s="4"/>
      <c r="Z3344" s="4"/>
      <c r="AA3344" s="4"/>
      <c r="AB3344" s="5"/>
    </row>
    <row r="3345" spans="1:28" x14ac:dyDescent="0.35">
      <c r="A3345" s="3"/>
      <c r="B3345" s="4"/>
      <c r="C3345" s="4"/>
      <c r="D3345" s="4"/>
      <c r="E3345" s="4"/>
      <c r="F3345" s="4"/>
      <c r="G3345" s="4"/>
      <c r="H3345" s="4"/>
      <c r="I3345" s="4"/>
      <c r="J3345" s="4"/>
      <c r="K3345" s="4"/>
      <c r="L3345" s="4"/>
      <c r="M3345" s="4"/>
      <c r="N3345" s="4"/>
      <c r="O3345" s="4"/>
      <c r="P3345" s="4"/>
      <c r="Q3345" s="4"/>
      <c r="R3345" s="4"/>
      <c r="S3345" s="4"/>
      <c r="T3345" s="4"/>
      <c r="U3345" s="4"/>
      <c r="V3345" s="4"/>
      <c r="W3345" s="4"/>
      <c r="X3345" s="4"/>
      <c r="Y3345" s="4"/>
      <c r="Z3345" s="4"/>
      <c r="AA3345" s="4"/>
      <c r="AB3345" s="5"/>
    </row>
    <row r="3346" spans="1:28" x14ac:dyDescent="0.35">
      <c r="A3346" s="3"/>
      <c r="B3346" s="4"/>
      <c r="C3346" s="4"/>
      <c r="D3346" s="4"/>
      <c r="E3346" s="4"/>
      <c r="F3346" s="4"/>
      <c r="G3346" s="4"/>
      <c r="H3346" s="4"/>
      <c r="I3346" s="4"/>
      <c r="J3346" s="4"/>
      <c r="K3346" s="4"/>
      <c r="L3346" s="4"/>
      <c r="M3346" s="4"/>
      <c r="N3346" s="4"/>
      <c r="O3346" s="4"/>
      <c r="P3346" s="4"/>
      <c r="Q3346" s="4"/>
      <c r="R3346" s="4"/>
      <c r="S3346" s="4"/>
      <c r="T3346" s="4"/>
      <c r="U3346" s="4"/>
      <c r="V3346" s="4"/>
      <c r="W3346" s="4"/>
      <c r="X3346" s="4"/>
      <c r="Y3346" s="4"/>
      <c r="Z3346" s="4"/>
      <c r="AA3346" s="4"/>
      <c r="AB3346" s="5"/>
    </row>
    <row r="3347" spans="1:28" x14ac:dyDescent="0.35">
      <c r="A3347" s="3"/>
      <c r="B3347" s="4"/>
      <c r="C3347" s="4"/>
      <c r="D3347" s="4"/>
      <c r="E3347" s="4"/>
      <c r="F3347" s="4"/>
      <c r="G3347" s="4"/>
      <c r="H3347" s="4"/>
      <c r="I3347" s="4"/>
      <c r="J3347" s="4"/>
      <c r="K3347" s="4"/>
      <c r="L3347" s="4"/>
      <c r="M3347" s="4"/>
      <c r="N3347" s="4"/>
      <c r="O3347" s="4"/>
      <c r="P3347" s="4"/>
      <c r="Q3347" s="4"/>
      <c r="R3347" s="4"/>
      <c r="S3347" s="4"/>
      <c r="T3347" s="4"/>
      <c r="U3347" s="4"/>
      <c r="V3347" s="4"/>
      <c r="W3347" s="4"/>
      <c r="X3347" s="4"/>
      <c r="Y3347" s="4"/>
      <c r="Z3347" s="4"/>
      <c r="AA3347" s="4"/>
      <c r="AB3347" s="5"/>
    </row>
    <row r="3348" spans="1:28" x14ac:dyDescent="0.35">
      <c r="A3348" s="3"/>
      <c r="B3348" s="4"/>
      <c r="C3348" s="4"/>
      <c r="D3348" s="4"/>
      <c r="E3348" s="4"/>
      <c r="F3348" s="4"/>
      <c r="G3348" s="4"/>
      <c r="H3348" s="4"/>
      <c r="I3348" s="4"/>
      <c r="J3348" s="4"/>
      <c r="K3348" s="4"/>
      <c r="L3348" s="4"/>
      <c r="M3348" s="4"/>
      <c r="N3348" s="4"/>
      <c r="O3348" s="4"/>
      <c r="P3348" s="4"/>
      <c r="Q3348" s="4"/>
      <c r="R3348" s="4"/>
      <c r="S3348" s="4"/>
      <c r="T3348" s="4"/>
      <c r="U3348" s="4"/>
      <c r="V3348" s="4"/>
      <c r="W3348" s="4"/>
      <c r="X3348" s="4"/>
      <c r="Y3348" s="4"/>
      <c r="Z3348" s="4"/>
      <c r="AA3348" s="4"/>
      <c r="AB3348" s="5"/>
    </row>
    <row r="3349" spans="1:28" x14ac:dyDescent="0.35">
      <c r="A3349" s="3"/>
      <c r="B3349" s="4"/>
      <c r="C3349" s="4"/>
      <c r="D3349" s="4"/>
      <c r="E3349" s="4"/>
      <c r="F3349" s="4"/>
      <c r="G3349" s="4"/>
      <c r="H3349" s="4"/>
      <c r="I3349" s="4"/>
      <c r="J3349" s="4"/>
      <c r="K3349" s="4"/>
      <c r="L3349" s="4"/>
      <c r="M3349" s="4"/>
      <c r="N3349" s="4"/>
      <c r="O3349" s="4"/>
      <c r="P3349" s="4"/>
      <c r="Q3349" s="4"/>
      <c r="R3349" s="4"/>
      <c r="S3349" s="4"/>
      <c r="T3349" s="4"/>
      <c r="U3349" s="4"/>
      <c r="V3349" s="4"/>
      <c r="W3349" s="4"/>
      <c r="X3349" s="4"/>
      <c r="Y3349" s="4"/>
      <c r="Z3349" s="4"/>
      <c r="AA3349" s="4"/>
      <c r="AB3349" s="5"/>
    </row>
    <row r="3350" spans="1:28" x14ac:dyDescent="0.35">
      <c r="A3350" s="3"/>
      <c r="B3350" s="4"/>
      <c r="C3350" s="4"/>
      <c r="D3350" s="4"/>
      <c r="E3350" s="4"/>
      <c r="F3350" s="4"/>
      <c r="G3350" s="4"/>
      <c r="H3350" s="4"/>
      <c r="I3350" s="4"/>
      <c r="J3350" s="4"/>
      <c r="K3350" s="4"/>
      <c r="L3350" s="4"/>
      <c r="M3350" s="4"/>
      <c r="N3350" s="4"/>
      <c r="O3350" s="4"/>
      <c r="P3350" s="4"/>
      <c r="Q3350" s="4"/>
      <c r="R3350" s="4"/>
      <c r="S3350" s="4"/>
      <c r="T3350" s="4"/>
      <c r="U3350" s="4"/>
      <c r="V3350" s="4"/>
      <c r="W3350" s="4"/>
      <c r="X3350" s="4"/>
      <c r="Y3350" s="4"/>
      <c r="Z3350" s="4"/>
      <c r="AA3350" s="4"/>
      <c r="AB3350" s="5"/>
    </row>
    <row r="3351" spans="1:28" x14ac:dyDescent="0.35">
      <c r="A3351" s="3"/>
      <c r="B3351" s="4"/>
      <c r="C3351" s="4"/>
      <c r="D3351" s="4"/>
      <c r="E3351" s="4"/>
      <c r="F3351" s="4"/>
      <c r="G3351" s="4"/>
      <c r="H3351" s="4"/>
      <c r="I3351" s="4"/>
      <c r="J3351" s="4"/>
      <c r="K3351" s="4"/>
      <c r="L3351" s="4"/>
      <c r="M3351" s="4"/>
      <c r="N3351" s="4"/>
      <c r="O3351" s="4"/>
      <c r="P3351" s="4"/>
      <c r="Q3351" s="4"/>
      <c r="R3351" s="4"/>
      <c r="S3351" s="4"/>
      <c r="T3351" s="4"/>
      <c r="U3351" s="4"/>
      <c r="V3351" s="4"/>
      <c r="W3351" s="4"/>
      <c r="X3351" s="4"/>
      <c r="Y3351" s="4"/>
      <c r="Z3351" s="4"/>
      <c r="AA3351" s="4"/>
      <c r="AB3351" s="5"/>
    </row>
    <row r="3352" spans="1:28" x14ac:dyDescent="0.35">
      <c r="A3352" s="3"/>
      <c r="B3352" s="4"/>
      <c r="C3352" s="4"/>
      <c r="D3352" s="4"/>
      <c r="E3352" s="4"/>
      <c r="F3352" s="4"/>
      <c r="G3352" s="4"/>
      <c r="H3352" s="4"/>
      <c r="I3352" s="4"/>
      <c r="J3352" s="4"/>
      <c r="K3352" s="4"/>
      <c r="L3352" s="4"/>
      <c r="M3352" s="4"/>
      <c r="N3352" s="4"/>
      <c r="O3352" s="4"/>
      <c r="P3352" s="4"/>
      <c r="Q3352" s="4"/>
      <c r="R3352" s="4"/>
      <c r="S3352" s="4"/>
      <c r="T3352" s="4"/>
      <c r="U3352" s="4"/>
      <c r="V3352" s="4"/>
      <c r="W3352" s="4"/>
      <c r="X3352" s="4"/>
      <c r="Y3352" s="4"/>
      <c r="Z3352" s="4"/>
      <c r="AA3352" s="4"/>
      <c r="AB3352" s="5"/>
    </row>
    <row r="3353" spans="1:28" x14ac:dyDescent="0.35">
      <c r="A3353" s="3"/>
      <c r="B3353" s="4"/>
      <c r="C3353" s="4"/>
      <c r="D3353" s="4"/>
      <c r="E3353" s="4"/>
      <c r="F3353" s="4"/>
      <c r="G3353" s="4"/>
      <c r="H3353" s="4"/>
      <c r="I3353" s="4"/>
      <c r="J3353" s="4"/>
      <c r="K3353" s="4"/>
      <c r="L3353" s="4"/>
      <c r="M3353" s="4"/>
      <c r="N3353" s="4"/>
      <c r="O3353" s="4"/>
      <c r="P3353" s="4"/>
      <c r="Q3353" s="4"/>
      <c r="R3353" s="4"/>
      <c r="S3353" s="4"/>
      <c r="T3353" s="4"/>
      <c r="U3353" s="4"/>
      <c r="V3353" s="4"/>
      <c r="W3353" s="4"/>
      <c r="X3353" s="4"/>
      <c r="Y3353" s="4"/>
      <c r="Z3353" s="4"/>
      <c r="AA3353" s="4"/>
      <c r="AB3353" s="5"/>
    </row>
    <row r="3354" spans="1:28" x14ac:dyDescent="0.35">
      <c r="A3354" s="3"/>
      <c r="B3354" s="4"/>
      <c r="C3354" s="4"/>
      <c r="D3354" s="4"/>
      <c r="E3354" s="4"/>
      <c r="F3354" s="4"/>
      <c r="G3354" s="4"/>
      <c r="H3354" s="4"/>
      <c r="I3354" s="4"/>
      <c r="J3354" s="4"/>
      <c r="K3354" s="4"/>
      <c r="L3354" s="4"/>
      <c r="M3354" s="4"/>
      <c r="N3354" s="4"/>
      <c r="O3354" s="4"/>
      <c r="P3354" s="4"/>
      <c r="Q3354" s="4"/>
      <c r="R3354" s="4"/>
      <c r="S3354" s="4"/>
      <c r="T3354" s="4"/>
      <c r="U3354" s="4"/>
      <c r="V3354" s="4"/>
      <c r="W3354" s="4"/>
      <c r="X3354" s="4"/>
      <c r="Y3354" s="4"/>
      <c r="Z3354" s="4"/>
      <c r="AA3354" s="4"/>
      <c r="AB3354" s="5"/>
    </row>
    <row r="3355" spans="1:28" x14ac:dyDescent="0.35">
      <c r="A3355" s="3"/>
      <c r="B3355" s="4"/>
      <c r="C3355" s="4"/>
      <c r="D3355" s="4"/>
      <c r="E3355" s="4"/>
      <c r="F3355" s="4"/>
      <c r="G3355" s="4"/>
      <c r="H3355" s="4"/>
      <c r="I3355" s="4"/>
      <c r="J3355" s="4"/>
      <c r="K3355" s="4"/>
      <c r="L3355" s="4"/>
      <c r="M3355" s="4"/>
      <c r="N3355" s="4"/>
      <c r="O3355" s="4"/>
      <c r="P3355" s="4"/>
      <c r="Q3355" s="4"/>
      <c r="R3355" s="4"/>
      <c r="S3355" s="4"/>
      <c r="T3355" s="4"/>
      <c r="U3355" s="4"/>
      <c r="V3355" s="4"/>
      <c r="W3355" s="4"/>
      <c r="X3355" s="4"/>
      <c r="Y3355" s="4"/>
      <c r="Z3355" s="4"/>
      <c r="AA3355" s="4"/>
      <c r="AB3355" s="5"/>
    </row>
    <row r="3356" spans="1:28" x14ac:dyDescent="0.35">
      <c r="A3356" s="3"/>
      <c r="B3356" s="4"/>
      <c r="C3356" s="4"/>
      <c r="D3356" s="4"/>
      <c r="E3356" s="4"/>
      <c r="F3356" s="4"/>
      <c r="G3356" s="4"/>
      <c r="H3356" s="4"/>
      <c r="I3356" s="4"/>
      <c r="J3356" s="4"/>
      <c r="K3356" s="4"/>
      <c r="L3356" s="4"/>
      <c r="M3356" s="4"/>
      <c r="N3356" s="4"/>
      <c r="O3356" s="4"/>
      <c r="P3356" s="4"/>
      <c r="Q3356" s="4"/>
      <c r="R3356" s="4"/>
      <c r="S3356" s="4"/>
      <c r="T3356" s="4"/>
      <c r="U3356" s="4"/>
      <c r="V3356" s="4"/>
      <c r="W3356" s="4"/>
      <c r="X3356" s="4"/>
      <c r="Y3356" s="4"/>
      <c r="Z3356" s="4"/>
      <c r="AA3356" s="4"/>
      <c r="AB3356" s="5"/>
    </row>
    <row r="3357" spans="1:28" x14ac:dyDescent="0.35">
      <c r="A3357" s="3"/>
      <c r="B3357" s="4"/>
      <c r="C3357" s="4"/>
      <c r="D3357" s="4"/>
      <c r="E3357" s="4"/>
      <c r="F3357" s="4"/>
      <c r="G3357" s="4"/>
      <c r="H3357" s="4"/>
      <c r="I3357" s="4"/>
      <c r="J3357" s="4"/>
      <c r="K3357" s="4"/>
      <c r="L3357" s="4"/>
      <c r="M3357" s="4"/>
      <c r="N3357" s="4"/>
      <c r="O3357" s="4"/>
      <c r="P3357" s="4"/>
      <c r="Q3357" s="4"/>
      <c r="R3357" s="4"/>
      <c r="S3357" s="4"/>
      <c r="T3357" s="4"/>
      <c r="U3357" s="4"/>
      <c r="V3357" s="4"/>
      <c r="W3357" s="4"/>
      <c r="X3357" s="4"/>
      <c r="Y3357" s="4"/>
      <c r="Z3357" s="4"/>
      <c r="AA3357" s="4"/>
      <c r="AB3357" s="5"/>
    </row>
    <row r="3358" spans="1:28" x14ac:dyDescent="0.35">
      <c r="A3358" s="3"/>
      <c r="B3358" s="4"/>
      <c r="C3358" s="4"/>
      <c r="D3358" s="4"/>
      <c r="E3358" s="4"/>
      <c r="F3358" s="4"/>
      <c r="G3358" s="4"/>
      <c r="H3358" s="4"/>
      <c r="I3358" s="4"/>
      <c r="J3358" s="4"/>
      <c r="K3358" s="4"/>
      <c r="L3358" s="4"/>
      <c r="M3358" s="4"/>
      <c r="N3358" s="4"/>
      <c r="O3358" s="4"/>
      <c r="P3358" s="4"/>
      <c r="Q3358" s="4"/>
      <c r="R3358" s="4"/>
      <c r="S3358" s="4"/>
      <c r="T3358" s="4"/>
      <c r="U3358" s="4"/>
      <c r="V3358" s="4"/>
      <c r="W3358" s="4"/>
      <c r="X3358" s="4"/>
      <c r="Y3358" s="4"/>
      <c r="Z3358" s="4"/>
      <c r="AA3358" s="4"/>
      <c r="AB3358" s="5"/>
    </row>
    <row r="3359" spans="1:28" x14ac:dyDescent="0.35">
      <c r="A3359" s="3"/>
      <c r="B3359" s="4"/>
      <c r="C3359" s="4"/>
      <c r="D3359" s="4"/>
      <c r="E3359" s="4"/>
      <c r="F3359" s="4"/>
      <c r="G3359" s="4"/>
      <c r="H3359" s="4"/>
      <c r="I3359" s="4"/>
      <c r="J3359" s="4"/>
      <c r="K3359" s="4"/>
      <c r="L3359" s="4"/>
      <c r="M3359" s="4"/>
      <c r="N3359" s="4"/>
      <c r="O3359" s="4"/>
      <c r="P3359" s="4"/>
      <c r="Q3359" s="4"/>
      <c r="R3359" s="4"/>
      <c r="S3359" s="4"/>
      <c r="T3359" s="4"/>
      <c r="U3359" s="4"/>
      <c r="V3359" s="4"/>
      <c r="W3359" s="4"/>
      <c r="X3359" s="4"/>
      <c r="Y3359" s="4"/>
      <c r="Z3359" s="4"/>
      <c r="AA3359" s="4"/>
      <c r="AB3359" s="5"/>
    </row>
    <row r="3360" spans="1:28" x14ac:dyDescent="0.35">
      <c r="A3360" s="3"/>
      <c r="B3360" s="4"/>
      <c r="C3360" s="4"/>
      <c r="D3360" s="4"/>
      <c r="E3360" s="4"/>
      <c r="F3360" s="4"/>
      <c r="G3360" s="4"/>
      <c r="H3360" s="4"/>
      <c r="I3360" s="4"/>
      <c r="J3360" s="4"/>
      <c r="K3360" s="4"/>
      <c r="L3360" s="4"/>
      <c r="M3360" s="4"/>
      <c r="N3360" s="4"/>
      <c r="O3360" s="4"/>
      <c r="P3360" s="4"/>
      <c r="Q3360" s="4"/>
      <c r="R3360" s="4"/>
      <c r="S3360" s="4"/>
      <c r="T3360" s="4"/>
      <c r="U3360" s="4"/>
      <c r="V3360" s="4"/>
      <c r="W3360" s="4"/>
      <c r="X3360" s="4"/>
      <c r="Y3360" s="4"/>
      <c r="Z3360" s="4"/>
      <c r="AA3360" s="4"/>
      <c r="AB3360" s="5"/>
    </row>
    <row r="3361" spans="1:28" x14ac:dyDescent="0.35">
      <c r="A3361" s="3"/>
      <c r="B3361" s="4"/>
      <c r="C3361" s="4"/>
      <c r="D3361" s="4"/>
      <c r="E3361" s="4"/>
      <c r="F3361" s="4"/>
      <c r="G3361" s="4"/>
      <c r="H3361" s="4"/>
      <c r="I3361" s="4"/>
      <c r="J3361" s="4"/>
      <c r="K3361" s="4"/>
      <c r="L3361" s="4"/>
      <c r="M3361" s="4"/>
      <c r="N3361" s="4"/>
      <c r="O3361" s="4"/>
      <c r="P3361" s="4"/>
      <c r="Q3361" s="4"/>
      <c r="R3361" s="4"/>
      <c r="S3361" s="4"/>
      <c r="T3361" s="4"/>
      <c r="U3361" s="4"/>
      <c r="V3361" s="4"/>
      <c r="W3361" s="4"/>
      <c r="X3361" s="4"/>
      <c r="Y3361" s="4"/>
      <c r="Z3361" s="4"/>
      <c r="AA3361" s="4"/>
      <c r="AB3361" s="5"/>
    </row>
    <row r="3362" spans="1:28" x14ac:dyDescent="0.35">
      <c r="A3362" s="3"/>
      <c r="B3362" s="4"/>
      <c r="C3362" s="4"/>
      <c r="D3362" s="4"/>
      <c r="E3362" s="4"/>
      <c r="F3362" s="4"/>
      <c r="G3362" s="4"/>
      <c r="H3362" s="4"/>
      <c r="I3362" s="4"/>
      <c r="J3362" s="4"/>
      <c r="K3362" s="4"/>
      <c r="L3362" s="4"/>
      <c r="M3362" s="4"/>
      <c r="N3362" s="4"/>
      <c r="O3362" s="4"/>
      <c r="P3362" s="4"/>
      <c r="Q3362" s="4"/>
      <c r="R3362" s="4"/>
      <c r="S3362" s="4"/>
      <c r="T3362" s="4"/>
      <c r="U3362" s="4"/>
      <c r="V3362" s="4"/>
      <c r="W3362" s="4"/>
      <c r="X3362" s="4"/>
      <c r="Y3362" s="4"/>
      <c r="Z3362" s="4"/>
      <c r="AA3362" s="4"/>
      <c r="AB3362" s="5"/>
    </row>
    <row r="3363" spans="1:28" x14ac:dyDescent="0.35">
      <c r="A3363" s="3"/>
      <c r="B3363" s="4"/>
      <c r="C3363" s="4"/>
      <c r="D3363" s="4"/>
      <c r="E3363" s="4"/>
      <c r="F3363" s="4"/>
      <c r="G3363" s="4"/>
      <c r="H3363" s="4"/>
      <c r="I3363" s="4"/>
      <c r="J3363" s="4"/>
      <c r="K3363" s="4"/>
      <c r="L3363" s="4"/>
      <c r="M3363" s="4"/>
      <c r="N3363" s="4"/>
      <c r="O3363" s="4"/>
      <c r="P3363" s="4"/>
      <c r="Q3363" s="4"/>
      <c r="R3363" s="4"/>
      <c r="S3363" s="4"/>
      <c r="T3363" s="4"/>
      <c r="U3363" s="4"/>
      <c r="V3363" s="4"/>
      <c r="W3363" s="4"/>
      <c r="X3363" s="4"/>
      <c r="Y3363" s="4"/>
      <c r="Z3363" s="4"/>
      <c r="AA3363" s="4"/>
      <c r="AB3363" s="5"/>
    </row>
    <row r="3364" spans="1:28" x14ac:dyDescent="0.35">
      <c r="A3364" s="3"/>
      <c r="B3364" s="4"/>
      <c r="C3364" s="4"/>
      <c r="D3364" s="4"/>
      <c r="E3364" s="4"/>
      <c r="F3364" s="4"/>
      <c r="G3364" s="4"/>
      <c r="H3364" s="4"/>
      <c r="I3364" s="4"/>
      <c r="J3364" s="4"/>
      <c r="K3364" s="4"/>
      <c r="L3364" s="4"/>
      <c r="M3364" s="4"/>
      <c r="N3364" s="4"/>
      <c r="O3364" s="4"/>
      <c r="P3364" s="4"/>
      <c r="Q3364" s="4"/>
      <c r="R3364" s="4"/>
      <c r="S3364" s="4"/>
      <c r="T3364" s="4"/>
      <c r="U3364" s="4"/>
      <c r="V3364" s="4"/>
      <c r="W3364" s="4"/>
      <c r="X3364" s="4"/>
      <c r="Y3364" s="4"/>
      <c r="Z3364" s="4"/>
      <c r="AA3364" s="4"/>
      <c r="AB3364" s="5"/>
    </row>
    <row r="3365" spans="1:28" x14ac:dyDescent="0.35">
      <c r="A3365" s="3"/>
      <c r="B3365" s="4"/>
      <c r="C3365" s="4"/>
      <c r="D3365" s="4"/>
      <c r="E3365" s="4"/>
      <c r="F3365" s="4"/>
      <c r="G3365" s="4"/>
      <c r="H3365" s="4"/>
      <c r="I3365" s="4"/>
      <c r="J3365" s="4"/>
      <c r="K3365" s="4"/>
      <c r="L3365" s="4"/>
      <c r="M3365" s="4"/>
      <c r="N3365" s="4"/>
      <c r="O3365" s="4"/>
      <c r="P3365" s="4"/>
      <c r="Q3365" s="4"/>
      <c r="R3365" s="4"/>
      <c r="S3365" s="4"/>
      <c r="T3365" s="4"/>
      <c r="U3365" s="4"/>
      <c r="V3365" s="4"/>
      <c r="W3365" s="4"/>
      <c r="X3365" s="4"/>
      <c r="Y3365" s="4"/>
      <c r="Z3365" s="4"/>
      <c r="AA3365" s="4"/>
      <c r="AB3365" s="5"/>
    </row>
    <row r="3366" spans="1:28" x14ac:dyDescent="0.35">
      <c r="A3366" s="3"/>
      <c r="B3366" s="4"/>
      <c r="C3366" s="4"/>
      <c r="D3366" s="4"/>
      <c r="E3366" s="4"/>
      <c r="F3366" s="4"/>
      <c r="G3366" s="4"/>
      <c r="H3366" s="4"/>
      <c r="I3366" s="4"/>
      <c r="J3366" s="4"/>
      <c r="K3366" s="4"/>
      <c r="L3366" s="4"/>
      <c r="M3366" s="4"/>
      <c r="N3366" s="4"/>
      <c r="O3366" s="4"/>
      <c r="P3366" s="4"/>
      <c r="Q3366" s="4"/>
      <c r="R3366" s="4"/>
      <c r="S3366" s="4"/>
      <c r="T3366" s="4"/>
      <c r="U3366" s="4"/>
      <c r="V3366" s="4"/>
      <c r="W3366" s="4"/>
      <c r="X3366" s="4"/>
      <c r="Y3366" s="4"/>
      <c r="Z3366" s="4"/>
      <c r="AA3366" s="4"/>
      <c r="AB3366" s="5"/>
    </row>
    <row r="3367" spans="1:28" x14ac:dyDescent="0.35">
      <c r="A3367" s="3"/>
      <c r="B3367" s="4"/>
      <c r="C3367" s="4"/>
      <c r="D3367" s="4"/>
      <c r="E3367" s="4"/>
      <c r="F3367" s="4"/>
      <c r="G3367" s="4"/>
      <c r="H3367" s="4"/>
      <c r="I3367" s="4"/>
      <c r="J3367" s="4"/>
      <c r="K3367" s="4"/>
      <c r="L3367" s="4"/>
      <c r="M3367" s="4"/>
      <c r="N3367" s="4"/>
      <c r="O3367" s="4"/>
      <c r="P3367" s="4"/>
      <c r="Q3367" s="4"/>
      <c r="R3367" s="4"/>
      <c r="S3367" s="4"/>
      <c r="T3367" s="4"/>
      <c r="U3367" s="4"/>
      <c r="V3367" s="4"/>
      <c r="W3367" s="4"/>
      <c r="X3367" s="4"/>
      <c r="Y3367" s="4"/>
      <c r="Z3367" s="4"/>
      <c r="AA3367" s="4"/>
      <c r="AB3367" s="5"/>
    </row>
    <row r="3368" spans="1:28" x14ac:dyDescent="0.35">
      <c r="A3368" s="3"/>
      <c r="B3368" s="4"/>
      <c r="C3368" s="4"/>
      <c r="D3368" s="4"/>
      <c r="E3368" s="4"/>
      <c r="F3368" s="4"/>
      <c r="G3368" s="4"/>
      <c r="H3368" s="4"/>
      <c r="I3368" s="4"/>
      <c r="J3368" s="4"/>
      <c r="K3368" s="4"/>
      <c r="L3368" s="4"/>
      <c r="M3368" s="4"/>
      <c r="N3368" s="4"/>
      <c r="O3368" s="4"/>
      <c r="P3368" s="4"/>
      <c r="Q3368" s="4"/>
      <c r="R3368" s="4"/>
      <c r="S3368" s="4"/>
      <c r="T3368" s="4"/>
      <c r="U3368" s="4"/>
      <c r="V3368" s="4"/>
      <c r="W3368" s="4"/>
      <c r="X3368" s="4"/>
      <c r="Y3368" s="4"/>
      <c r="Z3368" s="4"/>
      <c r="AA3368" s="4"/>
      <c r="AB3368" s="5"/>
    </row>
    <row r="3369" spans="1:28" x14ac:dyDescent="0.35">
      <c r="A3369" s="3"/>
      <c r="B3369" s="4"/>
      <c r="C3369" s="4"/>
      <c r="D3369" s="4"/>
      <c r="E3369" s="4"/>
      <c r="F3369" s="4"/>
      <c r="G3369" s="4"/>
      <c r="H3369" s="4"/>
      <c r="I3369" s="4"/>
      <c r="J3369" s="4"/>
      <c r="K3369" s="4"/>
      <c r="L3369" s="4"/>
      <c r="M3369" s="4"/>
      <c r="N3369" s="4"/>
      <c r="O3369" s="4"/>
      <c r="P3369" s="4"/>
      <c r="Q3369" s="4"/>
      <c r="R3369" s="4"/>
      <c r="S3369" s="4"/>
      <c r="T3369" s="4"/>
      <c r="U3369" s="4"/>
      <c r="V3369" s="4"/>
      <c r="W3369" s="4"/>
      <c r="X3369" s="4"/>
      <c r="Y3369" s="4"/>
      <c r="Z3369" s="4"/>
      <c r="AA3369" s="4"/>
      <c r="AB3369" s="5"/>
    </row>
    <row r="3370" spans="1:28" x14ac:dyDescent="0.35">
      <c r="A3370" s="3"/>
      <c r="B3370" s="4"/>
      <c r="C3370" s="4"/>
      <c r="D3370" s="4"/>
      <c r="E3370" s="4"/>
      <c r="F3370" s="4"/>
      <c r="G3370" s="4"/>
      <c r="H3370" s="4"/>
      <c r="I3370" s="4"/>
      <c r="J3370" s="4"/>
      <c r="K3370" s="4"/>
      <c r="L3370" s="4"/>
      <c r="M3370" s="4"/>
      <c r="N3370" s="4"/>
      <c r="O3370" s="4"/>
      <c r="P3370" s="4"/>
      <c r="Q3370" s="4"/>
      <c r="R3370" s="4"/>
      <c r="S3370" s="4"/>
      <c r="T3370" s="4"/>
      <c r="U3370" s="4"/>
      <c r="V3370" s="4"/>
      <c r="W3370" s="4"/>
      <c r="X3370" s="4"/>
      <c r="Y3370" s="4"/>
      <c r="Z3370" s="4"/>
      <c r="AA3370" s="4"/>
      <c r="AB3370" s="5"/>
    </row>
    <row r="3371" spans="1:28" x14ac:dyDescent="0.35">
      <c r="A3371" s="3"/>
      <c r="B3371" s="4"/>
      <c r="C3371" s="4"/>
      <c r="D3371" s="4"/>
      <c r="E3371" s="4"/>
      <c r="F3371" s="4"/>
      <c r="G3371" s="4"/>
      <c r="H3371" s="4"/>
      <c r="I3371" s="4"/>
      <c r="J3371" s="4"/>
      <c r="K3371" s="4"/>
      <c r="L3371" s="4"/>
      <c r="M3371" s="4"/>
      <c r="N3371" s="4"/>
      <c r="O3371" s="4"/>
      <c r="P3371" s="4"/>
      <c r="Q3371" s="4"/>
      <c r="R3371" s="4"/>
      <c r="S3371" s="4"/>
      <c r="T3371" s="4"/>
      <c r="U3371" s="4"/>
      <c r="V3371" s="4"/>
      <c r="W3371" s="4"/>
      <c r="X3371" s="4"/>
      <c r="Y3371" s="4"/>
      <c r="Z3371" s="4"/>
      <c r="AA3371" s="4"/>
      <c r="AB3371" s="5"/>
    </row>
    <row r="3372" spans="1:28" x14ac:dyDescent="0.35">
      <c r="A3372" s="3"/>
      <c r="B3372" s="4"/>
      <c r="C3372" s="4"/>
      <c r="D3372" s="4"/>
      <c r="E3372" s="4"/>
      <c r="F3372" s="4"/>
      <c r="G3372" s="4"/>
      <c r="H3372" s="4"/>
      <c r="I3372" s="4"/>
      <c r="J3372" s="4"/>
      <c r="K3372" s="4"/>
      <c r="L3372" s="4"/>
      <c r="M3372" s="4"/>
      <c r="N3372" s="4"/>
      <c r="O3372" s="4"/>
      <c r="P3372" s="4"/>
      <c r="Q3372" s="4"/>
      <c r="R3372" s="4"/>
      <c r="S3372" s="4"/>
      <c r="T3372" s="4"/>
      <c r="U3372" s="4"/>
      <c r="V3372" s="4"/>
      <c r="W3372" s="4"/>
      <c r="X3372" s="4"/>
      <c r="Y3372" s="4"/>
      <c r="Z3372" s="4"/>
      <c r="AA3372" s="4"/>
      <c r="AB3372" s="5"/>
    </row>
    <row r="3373" spans="1:28" x14ac:dyDescent="0.35">
      <c r="A3373" s="3"/>
      <c r="B3373" s="4"/>
      <c r="C3373" s="4"/>
      <c r="D3373" s="4"/>
      <c r="E3373" s="4"/>
      <c r="F3373" s="4"/>
      <c r="G3373" s="4"/>
      <c r="H3373" s="4"/>
      <c r="I3373" s="4"/>
      <c r="J3373" s="4"/>
      <c r="K3373" s="4"/>
      <c r="L3373" s="4"/>
      <c r="M3373" s="4"/>
      <c r="N3373" s="4"/>
      <c r="O3373" s="4"/>
      <c r="P3373" s="4"/>
      <c r="Q3373" s="4"/>
      <c r="R3373" s="4"/>
      <c r="S3373" s="4"/>
      <c r="T3373" s="4"/>
      <c r="U3373" s="4"/>
      <c r="V3373" s="4"/>
      <c r="W3373" s="4"/>
      <c r="X3373" s="4"/>
      <c r="Y3373" s="4"/>
      <c r="Z3373" s="4"/>
      <c r="AA3373" s="4"/>
      <c r="AB3373" s="5"/>
    </row>
    <row r="3374" spans="1:28" x14ac:dyDescent="0.35">
      <c r="A3374" s="3"/>
      <c r="B3374" s="4"/>
      <c r="C3374" s="4"/>
      <c r="D3374" s="4"/>
      <c r="E3374" s="4"/>
      <c r="F3374" s="4"/>
      <c r="G3374" s="4"/>
      <c r="H3374" s="4"/>
      <c r="I3374" s="4"/>
      <c r="J3374" s="4"/>
      <c r="K3374" s="4"/>
      <c r="L3374" s="4"/>
      <c r="M3374" s="4"/>
      <c r="N3374" s="4"/>
      <c r="O3374" s="4"/>
      <c r="P3374" s="4"/>
      <c r="Q3374" s="4"/>
      <c r="R3374" s="4"/>
      <c r="S3374" s="4"/>
      <c r="T3374" s="4"/>
      <c r="U3374" s="4"/>
      <c r="V3374" s="4"/>
      <c r="W3374" s="4"/>
      <c r="X3374" s="4"/>
      <c r="Y3374" s="4"/>
      <c r="Z3374" s="4"/>
      <c r="AA3374" s="4"/>
      <c r="AB3374" s="5"/>
    </row>
    <row r="3375" spans="1:28" x14ac:dyDescent="0.35">
      <c r="A3375" s="3"/>
      <c r="B3375" s="4"/>
      <c r="C3375" s="4"/>
      <c r="D3375" s="4"/>
      <c r="E3375" s="4"/>
      <c r="F3375" s="4"/>
      <c r="G3375" s="4"/>
      <c r="H3375" s="4"/>
      <c r="I3375" s="4"/>
      <c r="J3375" s="4"/>
      <c r="K3375" s="4"/>
      <c r="L3375" s="4"/>
      <c r="M3375" s="4"/>
      <c r="N3375" s="4"/>
      <c r="O3375" s="4"/>
      <c r="P3375" s="4"/>
      <c r="Q3375" s="4"/>
      <c r="R3375" s="4"/>
      <c r="S3375" s="4"/>
      <c r="T3375" s="4"/>
      <c r="U3375" s="4"/>
      <c r="V3375" s="4"/>
      <c r="W3375" s="4"/>
      <c r="X3375" s="4"/>
      <c r="Y3375" s="4"/>
      <c r="Z3375" s="4"/>
      <c r="AA3375" s="4"/>
      <c r="AB3375" s="5"/>
    </row>
    <row r="3376" spans="1:28" x14ac:dyDescent="0.35">
      <c r="A3376" s="3"/>
      <c r="B3376" s="4"/>
      <c r="C3376" s="4"/>
      <c r="D3376" s="4"/>
      <c r="E3376" s="4"/>
      <c r="F3376" s="4"/>
      <c r="G3376" s="4"/>
      <c r="H3376" s="4"/>
      <c r="I3376" s="4"/>
      <c r="J3376" s="4"/>
      <c r="K3376" s="4"/>
      <c r="L3376" s="4"/>
      <c r="M3376" s="4"/>
      <c r="N3376" s="4"/>
      <c r="O3376" s="4"/>
      <c r="P3376" s="4"/>
      <c r="Q3376" s="4"/>
      <c r="R3376" s="4"/>
      <c r="S3376" s="4"/>
      <c r="T3376" s="4"/>
      <c r="U3376" s="4"/>
      <c r="V3376" s="4"/>
      <c r="W3376" s="4"/>
      <c r="X3376" s="4"/>
      <c r="Y3376" s="4"/>
      <c r="Z3376" s="4"/>
      <c r="AA3376" s="4"/>
      <c r="AB3376" s="5"/>
    </row>
    <row r="3377" spans="1:28" x14ac:dyDescent="0.35">
      <c r="A3377" s="3"/>
      <c r="B3377" s="4"/>
      <c r="C3377" s="4"/>
      <c r="D3377" s="4"/>
      <c r="E3377" s="4"/>
      <c r="F3377" s="4"/>
      <c r="G3377" s="4"/>
      <c r="H3377" s="4"/>
      <c r="I3377" s="4"/>
      <c r="J3377" s="4"/>
      <c r="K3377" s="4"/>
      <c r="L3377" s="4"/>
      <c r="M3377" s="4"/>
      <c r="N3377" s="4"/>
      <c r="O3377" s="4"/>
      <c r="P3377" s="4"/>
      <c r="Q3377" s="4"/>
      <c r="R3377" s="4"/>
      <c r="S3377" s="4"/>
      <c r="T3377" s="4"/>
      <c r="U3377" s="4"/>
      <c r="V3377" s="4"/>
      <c r="W3377" s="4"/>
      <c r="X3377" s="4"/>
      <c r="Y3377" s="4"/>
      <c r="Z3377" s="4"/>
      <c r="AA3377" s="4"/>
      <c r="AB3377" s="5"/>
    </row>
    <row r="3378" spans="1:28" x14ac:dyDescent="0.35">
      <c r="A3378" s="3"/>
      <c r="B3378" s="4"/>
      <c r="C3378" s="4"/>
      <c r="D3378" s="4"/>
      <c r="E3378" s="4"/>
      <c r="F3378" s="4"/>
      <c r="G3378" s="4"/>
      <c r="H3378" s="4"/>
      <c r="I3378" s="4"/>
      <c r="J3378" s="4"/>
      <c r="K3378" s="4"/>
      <c r="L3378" s="4"/>
      <c r="M3378" s="4"/>
      <c r="N3378" s="4"/>
      <c r="O3378" s="4"/>
      <c r="P3378" s="4"/>
      <c r="Q3378" s="4"/>
      <c r="R3378" s="4"/>
      <c r="S3378" s="4"/>
      <c r="T3378" s="4"/>
      <c r="U3378" s="4"/>
      <c r="V3378" s="4"/>
      <c r="W3378" s="4"/>
      <c r="X3378" s="4"/>
      <c r="Y3378" s="4"/>
      <c r="Z3378" s="4"/>
      <c r="AA3378" s="4"/>
      <c r="AB3378" s="5"/>
    </row>
    <row r="3379" spans="1:28" x14ac:dyDescent="0.35">
      <c r="A3379" s="3"/>
      <c r="B3379" s="4"/>
      <c r="C3379" s="4"/>
      <c r="D3379" s="4"/>
      <c r="E3379" s="4"/>
      <c r="F3379" s="4"/>
      <c r="G3379" s="4"/>
      <c r="H3379" s="4"/>
      <c r="I3379" s="4"/>
      <c r="J3379" s="4"/>
      <c r="K3379" s="4"/>
      <c r="L3379" s="4"/>
      <c r="M3379" s="4"/>
      <c r="N3379" s="4"/>
      <c r="O3379" s="4"/>
      <c r="P3379" s="4"/>
      <c r="Q3379" s="4"/>
      <c r="R3379" s="4"/>
      <c r="S3379" s="4"/>
      <c r="T3379" s="4"/>
      <c r="U3379" s="4"/>
      <c r="V3379" s="4"/>
      <c r="W3379" s="4"/>
      <c r="X3379" s="4"/>
      <c r="Y3379" s="4"/>
      <c r="Z3379" s="4"/>
      <c r="AA3379" s="4"/>
      <c r="AB3379" s="5"/>
    </row>
    <row r="3380" spans="1:28" x14ac:dyDescent="0.35">
      <c r="A3380" s="3"/>
      <c r="B3380" s="4"/>
      <c r="C3380" s="4"/>
      <c r="D3380" s="4"/>
      <c r="E3380" s="4"/>
      <c r="F3380" s="4"/>
      <c r="G3380" s="4"/>
      <c r="H3380" s="4"/>
      <c r="I3380" s="4"/>
      <c r="J3380" s="4"/>
      <c r="K3380" s="4"/>
      <c r="L3380" s="4"/>
      <c r="M3380" s="4"/>
      <c r="N3380" s="4"/>
      <c r="O3380" s="4"/>
      <c r="P3380" s="4"/>
      <c r="Q3380" s="4"/>
      <c r="R3380" s="4"/>
      <c r="S3380" s="4"/>
      <c r="T3380" s="4"/>
      <c r="U3380" s="4"/>
      <c r="V3380" s="4"/>
      <c r="W3380" s="4"/>
      <c r="X3380" s="4"/>
      <c r="Y3380" s="4"/>
      <c r="Z3380" s="4"/>
      <c r="AA3380" s="4"/>
      <c r="AB3380" s="5"/>
    </row>
    <row r="3381" spans="1:28" x14ac:dyDescent="0.35">
      <c r="A3381" s="3"/>
      <c r="B3381" s="4"/>
      <c r="C3381" s="4"/>
      <c r="D3381" s="4"/>
      <c r="E3381" s="4"/>
      <c r="F3381" s="4"/>
      <c r="G3381" s="4"/>
      <c r="H3381" s="4"/>
      <c r="I3381" s="4"/>
      <c r="J3381" s="4"/>
      <c r="K3381" s="4"/>
      <c r="L3381" s="4"/>
      <c r="M3381" s="4"/>
      <c r="N3381" s="4"/>
      <c r="O3381" s="4"/>
      <c r="P3381" s="4"/>
      <c r="Q3381" s="4"/>
      <c r="R3381" s="4"/>
      <c r="S3381" s="4"/>
      <c r="T3381" s="4"/>
      <c r="U3381" s="4"/>
      <c r="V3381" s="4"/>
      <c r="W3381" s="4"/>
      <c r="X3381" s="4"/>
      <c r="Y3381" s="4"/>
      <c r="Z3381" s="4"/>
      <c r="AA3381" s="4"/>
      <c r="AB3381" s="5"/>
    </row>
    <row r="3382" spans="1:28" x14ac:dyDescent="0.35">
      <c r="A3382" s="3"/>
      <c r="B3382" s="4"/>
      <c r="C3382" s="4"/>
      <c r="D3382" s="4"/>
      <c r="E3382" s="4"/>
      <c r="F3382" s="4"/>
      <c r="G3382" s="4"/>
      <c r="H3382" s="4"/>
      <c r="I3382" s="4"/>
      <c r="J3382" s="4"/>
      <c r="K3382" s="4"/>
      <c r="L3382" s="4"/>
      <c r="M3382" s="4"/>
      <c r="N3382" s="4"/>
      <c r="O3382" s="4"/>
      <c r="P3382" s="4"/>
      <c r="Q3382" s="4"/>
      <c r="R3382" s="4"/>
      <c r="S3382" s="4"/>
      <c r="T3382" s="4"/>
      <c r="U3382" s="4"/>
      <c r="V3382" s="4"/>
      <c r="W3382" s="4"/>
      <c r="X3382" s="4"/>
      <c r="Y3382" s="4"/>
      <c r="Z3382" s="4"/>
      <c r="AA3382" s="4"/>
      <c r="AB3382" s="5"/>
    </row>
    <row r="3383" spans="1:28" x14ac:dyDescent="0.35">
      <c r="A3383" s="3"/>
      <c r="B3383" s="4"/>
      <c r="C3383" s="4"/>
      <c r="D3383" s="4"/>
      <c r="E3383" s="4"/>
      <c r="F3383" s="4"/>
      <c r="G3383" s="4"/>
      <c r="H3383" s="4"/>
      <c r="I3383" s="4"/>
      <c r="J3383" s="4"/>
      <c r="K3383" s="4"/>
      <c r="L3383" s="4"/>
      <c r="M3383" s="4"/>
      <c r="N3383" s="4"/>
      <c r="O3383" s="4"/>
      <c r="P3383" s="4"/>
      <c r="Q3383" s="4"/>
      <c r="R3383" s="4"/>
      <c r="S3383" s="4"/>
      <c r="T3383" s="4"/>
      <c r="U3383" s="4"/>
      <c r="V3383" s="4"/>
      <c r="W3383" s="4"/>
      <c r="X3383" s="4"/>
      <c r="Y3383" s="4"/>
      <c r="Z3383" s="4"/>
      <c r="AA3383" s="4"/>
      <c r="AB3383" s="5"/>
    </row>
    <row r="3384" spans="1:28" x14ac:dyDescent="0.35">
      <c r="A3384" s="3"/>
      <c r="B3384" s="4"/>
      <c r="C3384" s="4"/>
      <c r="D3384" s="4"/>
      <c r="E3384" s="4"/>
      <c r="F3384" s="4"/>
      <c r="G3384" s="4"/>
      <c r="H3384" s="4"/>
      <c r="I3384" s="4"/>
      <c r="J3384" s="4"/>
      <c r="K3384" s="4"/>
      <c r="L3384" s="4"/>
      <c r="M3384" s="4"/>
      <c r="N3384" s="4"/>
      <c r="O3384" s="4"/>
      <c r="P3384" s="4"/>
      <c r="Q3384" s="4"/>
      <c r="R3384" s="4"/>
      <c r="S3384" s="4"/>
      <c r="T3384" s="4"/>
      <c r="U3384" s="4"/>
      <c r="V3384" s="4"/>
      <c r="W3384" s="4"/>
      <c r="X3384" s="4"/>
      <c r="Y3384" s="4"/>
      <c r="Z3384" s="4"/>
      <c r="AA3384" s="4"/>
      <c r="AB3384" s="5"/>
    </row>
    <row r="3385" spans="1:28" x14ac:dyDescent="0.35">
      <c r="A3385" s="3"/>
      <c r="B3385" s="4"/>
      <c r="C3385" s="4"/>
      <c r="D3385" s="4"/>
      <c r="E3385" s="4"/>
      <c r="F3385" s="4"/>
      <c r="G3385" s="4"/>
      <c r="H3385" s="4"/>
      <c r="I3385" s="4"/>
      <c r="J3385" s="4"/>
      <c r="K3385" s="4"/>
      <c r="L3385" s="4"/>
      <c r="M3385" s="4"/>
      <c r="N3385" s="4"/>
      <c r="O3385" s="4"/>
      <c r="P3385" s="4"/>
      <c r="Q3385" s="4"/>
      <c r="R3385" s="4"/>
      <c r="S3385" s="4"/>
      <c r="T3385" s="4"/>
      <c r="U3385" s="4"/>
      <c r="V3385" s="4"/>
      <c r="W3385" s="4"/>
      <c r="X3385" s="4"/>
      <c r="Y3385" s="4"/>
      <c r="Z3385" s="4"/>
      <c r="AA3385" s="4"/>
      <c r="AB3385" s="5"/>
    </row>
    <row r="3386" spans="1:28" x14ac:dyDescent="0.35">
      <c r="A3386" s="3"/>
      <c r="B3386" s="4"/>
      <c r="C3386" s="4"/>
      <c r="D3386" s="4"/>
      <c r="E3386" s="4"/>
      <c r="F3386" s="4"/>
      <c r="G3386" s="4"/>
      <c r="H3386" s="4"/>
      <c r="I3386" s="4"/>
      <c r="J3386" s="4"/>
      <c r="K3386" s="4"/>
      <c r="L3386" s="4"/>
      <c r="M3386" s="4"/>
      <c r="N3386" s="4"/>
      <c r="O3386" s="4"/>
      <c r="P3386" s="4"/>
      <c r="Q3386" s="4"/>
      <c r="R3386" s="4"/>
      <c r="S3386" s="4"/>
      <c r="T3386" s="4"/>
      <c r="U3386" s="4"/>
      <c r="V3386" s="4"/>
      <c r="W3386" s="4"/>
      <c r="X3386" s="4"/>
      <c r="Y3386" s="4"/>
      <c r="Z3386" s="4"/>
      <c r="AA3386" s="4"/>
      <c r="AB3386" s="5"/>
    </row>
    <row r="3387" spans="1:28" x14ac:dyDescent="0.35">
      <c r="A3387" s="3"/>
      <c r="B3387" s="4"/>
      <c r="C3387" s="4"/>
      <c r="D3387" s="4"/>
      <c r="E3387" s="4"/>
      <c r="F3387" s="4"/>
      <c r="G3387" s="4"/>
      <c r="H3387" s="4"/>
      <c r="I3387" s="4"/>
      <c r="J3387" s="4"/>
      <c r="K3387" s="4"/>
      <c r="L3387" s="4"/>
      <c r="M3387" s="4"/>
      <c r="N3387" s="4"/>
      <c r="O3387" s="4"/>
      <c r="P3387" s="4"/>
      <c r="Q3387" s="4"/>
      <c r="R3387" s="4"/>
      <c r="S3387" s="4"/>
      <c r="T3387" s="4"/>
      <c r="U3387" s="4"/>
      <c r="V3387" s="4"/>
      <c r="W3387" s="4"/>
      <c r="X3387" s="4"/>
      <c r="Y3387" s="4"/>
      <c r="Z3387" s="4"/>
      <c r="AA3387" s="4"/>
      <c r="AB3387" s="5"/>
    </row>
    <row r="3388" spans="1:28" x14ac:dyDescent="0.35">
      <c r="A3388" s="3"/>
      <c r="B3388" s="4"/>
      <c r="C3388" s="4"/>
      <c r="D3388" s="4"/>
      <c r="E3388" s="4"/>
      <c r="F3388" s="4"/>
      <c r="G3388" s="4"/>
      <c r="H3388" s="4"/>
      <c r="I3388" s="4"/>
      <c r="J3388" s="4"/>
      <c r="K3388" s="4"/>
      <c r="L3388" s="4"/>
      <c r="M3388" s="4"/>
      <c r="N3388" s="4"/>
      <c r="O3388" s="4"/>
      <c r="P3388" s="4"/>
      <c r="Q3388" s="4"/>
      <c r="R3388" s="4"/>
      <c r="S3388" s="4"/>
      <c r="T3388" s="4"/>
      <c r="U3388" s="4"/>
      <c r="V3388" s="4"/>
      <c r="W3388" s="4"/>
      <c r="X3388" s="4"/>
      <c r="Y3388" s="4"/>
      <c r="Z3388" s="4"/>
      <c r="AA3388" s="4"/>
      <c r="AB3388" s="5"/>
    </row>
    <row r="3389" spans="1:28" x14ac:dyDescent="0.35">
      <c r="A3389" s="3"/>
      <c r="B3389" s="4"/>
      <c r="C3389" s="4"/>
      <c r="D3389" s="4"/>
      <c r="E3389" s="4"/>
      <c r="F3389" s="4"/>
      <c r="G3389" s="4"/>
      <c r="H3389" s="4"/>
      <c r="I3389" s="4"/>
      <c r="J3389" s="4"/>
      <c r="K3389" s="4"/>
      <c r="L3389" s="4"/>
      <c r="M3389" s="4"/>
      <c r="N3389" s="4"/>
      <c r="O3389" s="4"/>
      <c r="P3389" s="4"/>
      <c r="Q3389" s="4"/>
      <c r="R3389" s="4"/>
      <c r="S3389" s="4"/>
      <c r="T3389" s="4"/>
      <c r="U3389" s="4"/>
      <c r="V3389" s="4"/>
      <c r="W3389" s="4"/>
      <c r="X3389" s="4"/>
      <c r="Y3389" s="4"/>
      <c r="Z3389" s="4"/>
      <c r="AA3389" s="4"/>
      <c r="AB3389" s="5"/>
    </row>
    <row r="3390" spans="1:28" x14ac:dyDescent="0.35">
      <c r="A3390" s="3"/>
      <c r="B3390" s="4"/>
      <c r="C3390" s="4"/>
      <c r="D3390" s="4"/>
      <c r="E3390" s="4"/>
      <c r="F3390" s="4"/>
      <c r="G3390" s="4"/>
      <c r="H3390" s="4"/>
      <c r="I3390" s="4"/>
      <c r="J3390" s="4"/>
      <c r="K3390" s="4"/>
      <c r="L3390" s="4"/>
      <c r="M3390" s="4"/>
      <c r="N3390" s="4"/>
      <c r="O3390" s="4"/>
      <c r="P3390" s="4"/>
      <c r="Q3390" s="4"/>
      <c r="R3390" s="4"/>
      <c r="S3390" s="4"/>
      <c r="T3390" s="4"/>
      <c r="U3390" s="4"/>
      <c r="V3390" s="4"/>
      <c r="W3390" s="4"/>
      <c r="X3390" s="4"/>
      <c r="Y3390" s="4"/>
      <c r="Z3390" s="4"/>
      <c r="AA3390" s="4"/>
      <c r="AB3390" s="5"/>
    </row>
    <row r="3391" spans="1:28" x14ac:dyDescent="0.35">
      <c r="A3391" s="3"/>
      <c r="B3391" s="4"/>
      <c r="C3391" s="4"/>
      <c r="D3391" s="4"/>
      <c r="E3391" s="4"/>
      <c r="F3391" s="4"/>
      <c r="G3391" s="4"/>
      <c r="H3391" s="4"/>
      <c r="I3391" s="4"/>
      <c r="J3391" s="4"/>
      <c r="K3391" s="4"/>
      <c r="L3391" s="4"/>
      <c r="M3391" s="4"/>
      <c r="N3391" s="4"/>
      <c r="O3391" s="4"/>
      <c r="P3391" s="4"/>
      <c r="Q3391" s="4"/>
      <c r="R3391" s="4"/>
      <c r="S3391" s="4"/>
      <c r="T3391" s="4"/>
      <c r="U3391" s="4"/>
      <c r="V3391" s="4"/>
      <c r="W3391" s="4"/>
      <c r="X3391" s="4"/>
      <c r="Y3391" s="4"/>
      <c r="Z3391" s="4"/>
      <c r="AA3391" s="4"/>
      <c r="AB3391" s="5"/>
    </row>
    <row r="3392" spans="1:28" x14ac:dyDescent="0.35">
      <c r="A3392" s="3"/>
      <c r="B3392" s="4"/>
      <c r="C3392" s="4"/>
      <c r="D3392" s="4"/>
      <c r="E3392" s="4"/>
      <c r="F3392" s="4"/>
      <c r="G3392" s="4"/>
      <c r="H3392" s="4"/>
      <c r="I3392" s="4"/>
      <c r="J3392" s="4"/>
      <c r="K3392" s="4"/>
      <c r="L3392" s="4"/>
      <c r="M3392" s="4"/>
      <c r="N3392" s="4"/>
      <c r="O3392" s="4"/>
      <c r="P3392" s="4"/>
      <c r="Q3392" s="4"/>
      <c r="R3392" s="4"/>
      <c r="S3392" s="4"/>
      <c r="T3392" s="4"/>
      <c r="U3392" s="4"/>
      <c r="V3392" s="4"/>
      <c r="W3392" s="4"/>
      <c r="X3392" s="4"/>
      <c r="Y3392" s="4"/>
      <c r="Z3392" s="4"/>
      <c r="AA3392" s="4"/>
      <c r="AB3392" s="5"/>
    </row>
    <row r="3393" spans="1:28" x14ac:dyDescent="0.35">
      <c r="A3393" s="3"/>
      <c r="B3393" s="4"/>
      <c r="C3393" s="4"/>
      <c r="D3393" s="4"/>
      <c r="E3393" s="4"/>
      <c r="F3393" s="4"/>
      <c r="G3393" s="4"/>
      <c r="H3393" s="4"/>
      <c r="I3393" s="4"/>
      <c r="J3393" s="4"/>
      <c r="K3393" s="4"/>
      <c r="L3393" s="4"/>
      <c r="M3393" s="4"/>
      <c r="N3393" s="4"/>
      <c r="O3393" s="4"/>
      <c r="P3393" s="4"/>
      <c r="Q3393" s="4"/>
      <c r="R3393" s="4"/>
      <c r="S3393" s="4"/>
      <c r="T3393" s="4"/>
      <c r="U3393" s="4"/>
      <c r="V3393" s="4"/>
      <c r="W3393" s="4"/>
      <c r="X3393" s="4"/>
      <c r="Y3393" s="4"/>
      <c r="Z3393" s="4"/>
      <c r="AA3393" s="4"/>
      <c r="AB3393" s="5"/>
    </row>
    <row r="3394" spans="1:28" x14ac:dyDescent="0.35">
      <c r="A3394" s="3"/>
      <c r="B3394" s="4"/>
      <c r="C3394" s="4"/>
      <c r="D3394" s="4"/>
      <c r="E3394" s="4"/>
      <c r="F3394" s="4"/>
      <c r="G3394" s="4"/>
      <c r="H3394" s="4"/>
      <c r="I3394" s="4"/>
      <c r="J3394" s="4"/>
      <c r="K3394" s="4"/>
      <c r="L3394" s="4"/>
      <c r="M3394" s="4"/>
      <c r="N3394" s="4"/>
      <c r="O3394" s="4"/>
      <c r="P3394" s="4"/>
      <c r="Q3394" s="4"/>
      <c r="R3394" s="4"/>
      <c r="S3394" s="4"/>
      <c r="T3394" s="4"/>
      <c r="U3394" s="4"/>
      <c r="V3394" s="4"/>
      <c r="W3394" s="4"/>
      <c r="X3394" s="4"/>
      <c r="Y3394" s="4"/>
      <c r="Z3394" s="4"/>
      <c r="AA3394" s="4"/>
      <c r="AB3394" s="5"/>
    </row>
    <row r="3395" spans="1:28" x14ac:dyDescent="0.35">
      <c r="A3395" s="3"/>
      <c r="B3395" s="4"/>
      <c r="C3395" s="4"/>
      <c r="D3395" s="4"/>
      <c r="E3395" s="4"/>
      <c r="F3395" s="4"/>
      <c r="G3395" s="4"/>
      <c r="H3395" s="4"/>
      <c r="I3395" s="4"/>
      <c r="J3395" s="4"/>
      <c r="K3395" s="4"/>
      <c r="L3395" s="4"/>
      <c r="M3395" s="4"/>
      <c r="N3395" s="4"/>
      <c r="O3395" s="4"/>
      <c r="P3395" s="4"/>
      <c r="Q3395" s="4"/>
      <c r="R3395" s="4"/>
      <c r="S3395" s="4"/>
      <c r="T3395" s="4"/>
      <c r="U3395" s="4"/>
      <c r="V3395" s="4"/>
      <c r="W3395" s="4"/>
      <c r="X3395" s="4"/>
      <c r="Y3395" s="4"/>
      <c r="Z3395" s="4"/>
      <c r="AA3395" s="4"/>
      <c r="AB3395" s="5"/>
    </row>
    <row r="3396" spans="1:28" x14ac:dyDescent="0.35">
      <c r="A3396" s="3"/>
      <c r="B3396" s="4"/>
      <c r="C3396" s="4"/>
      <c r="D3396" s="4"/>
      <c r="E3396" s="4"/>
      <c r="F3396" s="4"/>
      <c r="G3396" s="4"/>
      <c r="H3396" s="4"/>
      <c r="I3396" s="4"/>
      <c r="J3396" s="4"/>
      <c r="K3396" s="4"/>
      <c r="L3396" s="4"/>
      <c r="M3396" s="4"/>
      <c r="N3396" s="4"/>
      <c r="O3396" s="4"/>
      <c r="P3396" s="4"/>
      <c r="Q3396" s="4"/>
      <c r="R3396" s="4"/>
      <c r="S3396" s="4"/>
      <c r="T3396" s="4"/>
      <c r="U3396" s="4"/>
      <c r="V3396" s="4"/>
      <c r="W3396" s="4"/>
      <c r="X3396" s="4"/>
      <c r="Y3396" s="4"/>
      <c r="Z3396" s="4"/>
      <c r="AA3396" s="4"/>
      <c r="AB3396" s="5"/>
    </row>
    <row r="3397" spans="1:28" x14ac:dyDescent="0.35">
      <c r="A3397" s="3"/>
      <c r="B3397" s="4"/>
      <c r="C3397" s="4"/>
      <c r="D3397" s="4"/>
      <c r="E3397" s="4"/>
      <c r="F3397" s="4"/>
      <c r="G3397" s="4"/>
      <c r="H3397" s="4"/>
      <c r="I3397" s="4"/>
      <c r="J3397" s="4"/>
      <c r="K3397" s="4"/>
      <c r="L3397" s="4"/>
      <c r="M3397" s="4"/>
      <c r="N3397" s="4"/>
      <c r="O3397" s="4"/>
      <c r="P3397" s="4"/>
      <c r="Q3397" s="4"/>
      <c r="R3397" s="4"/>
      <c r="S3397" s="4"/>
      <c r="T3397" s="4"/>
      <c r="U3397" s="4"/>
      <c r="V3397" s="4"/>
      <c r="W3397" s="4"/>
      <c r="X3397" s="4"/>
      <c r="Y3397" s="4"/>
      <c r="Z3397" s="4"/>
      <c r="AA3397" s="4"/>
      <c r="AB3397" s="5"/>
    </row>
    <row r="3398" spans="1:28" x14ac:dyDescent="0.35">
      <c r="A3398" s="3"/>
      <c r="B3398" s="4"/>
      <c r="C3398" s="4"/>
      <c r="D3398" s="4"/>
      <c r="E3398" s="4"/>
      <c r="F3398" s="4"/>
      <c r="G3398" s="4"/>
      <c r="H3398" s="4"/>
      <c r="I3398" s="4"/>
      <c r="J3398" s="4"/>
      <c r="K3398" s="4"/>
      <c r="L3398" s="4"/>
      <c r="M3398" s="4"/>
      <c r="N3398" s="4"/>
      <c r="O3398" s="4"/>
      <c r="P3398" s="4"/>
      <c r="Q3398" s="4"/>
      <c r="R3398" s="4"/>
      <c r="S3398" s="4"/>
      <c r="T3398" s="4"/>
      <c r="U3398" s="4"/>
      <c r="V3398" s="4"/>
      <c r="W3398" s="4"/>
      <c r="X3398" s="4"/>
      <c r="Y3398" s="4"/>
      <c r="Z3398" s="4"/>
      <c r="AA3398" s="4"/>
      <c r="AB3398" s="5"/>
    </row>
    <row r="3399" spans="1:28" x14ac:dyDescent="0.35">
      <c r="A3399" s="3"/>
      <c r="B3399" s="4"/>
      <c r="C3399" s="4"/>
      <c r="D3399" s="4"/>
      <c r="E3399" s="4"/>
      <c r="F3399" s="4"/>
      <c r="G3399" s="4"/>
      <c r="H3399" s="4"/>
      <c r="I3399" s="4"/>
      <c r="J3399" s="4"/>
      <c r="K3399" s="4"/>
      <c r="L3399" s="4"/>
      <c r="M3399" s="4"/>
      <c r="N3399" s="4"/>
      <c r="O3399" s="4"/>
      <c r="P3399" s="4"/>
      <c r="Q3399" s="4"/>
      <c r="R3399" s="4"/>
      <c r="S3399" s="4"/>
      <c r="T3399" s="4"/>
      <c r="U3399" s="4"/>
      <c r="V3399" s="4"/>
      <c r="W3399" s="4"/>
      <c r="X3399" s="4"/>
      <c r="Y3399" s="4"/>
      <c r="Z3399" s="4"/>
      <c r="AA3399" s="4"/>
      <c r="AB3399" s="5"/>
    </row>
    <row r="3400" spans="1:28" x14ac:dyDescent="0.35">
      <c r="A3400" s="3"/>
      <c r="B3400" s="4"/>
      <c r="C3400" s="4"/>
      <c r="D3400" s="4"/>
      <c r="E3400" s="4"/>
      <c r="F3400" s="4"/>
      <c r="G3400" s="4"/>
      <c r="H3400" s="4"/>
      <c r="I3400" s="4"/>
      <c r="J3400" s="4"/>
      <c r="K3400" s="4"/>
      <c r="L3400" s="4"/>
      <c r="M3400" s="4"/>
      <c r="N3400" s="4"/>
      <c r="O3400" s="4"/>
      <c r="P3400" s="4"/>
      <c r="Q3400" s="4"/>
      <c r="R3400" s="4"/>
      <c r="S3400" s="4"/>
      <c r="T3400" s="4"/>
      <c r="U3400" s="4"/>
      <c r="V3400" s="4"/>
      <c r="W3400" s="4"/>
      <c r="X3400" s="4"/>
      <c r="Y3400" s="4"/>
      <c r="Z3400" s="4"/>
      <c r="AA3400" s="4"/>
      <c r="AB3400" s="5"/>
    </row>
    <row r="3401" spans="1:28" x14ac:dyDescent="0.35">
      <c r="A3401" s="3"/>
      <c r="B3401" s="4"/>
      <c r="C3401" s="4"/>
      <c r="D3401" s="4"/>
      <c r="E3401" s="4"/>
      <c r="F3401" s="4"/>
      <c r="G3401" s="4"/>
      <c r="H3401" s="4"/>
      <c r="I3401" s="4"/>
      <c r="J3401" s="4"/>
      <c r="K3401" s="4"/>
      <c r="L3401" s="4"/>
      <c r="M3401" s="4"/>
      <c r="N3401" s="4"/>
      <c r="O3401" s="4"/>
      <c r="P3401" s="4"/>
      <c r="Q3401" s="4"/>
      <c r="R3401" s="4"/>
      <c r="S3401" s="4"/>
      <c r="T3401" s="4"/>
      <c r="U3401" s="4"/>
      <c r="V3401" s="4"/>
      <c r="W3401" s="4"/>
      <c r="X3401" s="4"/>
      <c r="Y3401" s="4"/>
      <c r="Z3401" s="4"/>
      <c r="AA3401" s="4"/>
      <c r="AB3401" s="5"/>
    </row>
    <row r="3402" spans="1:28" x14ac:dyDescent="0.35">
      <c r="A3402" s="3"/>
      <c r="B3402" s="4"/>
      <c r="C3402" s="4"/>
      <c r="D3402" s="4"/>
      <c r="E3402" s="4"/>
      <c r="F3402" s="4"/>
      <c r="G3402" s="4"/>
      <c r="H3402" s="4"/>
      <c r="I3402" s="4"/>
      <c r="J3402" s="4"/>
      <c r="K3402" s="4"/>
      <c r="L3402" s="4"/>
      <c r="M3402" s="4"/>
      <c r="N3402" s="4"/>
      <c r="O3402" s="4"/>
      <c r="P3402" s="4"/>
      <c r="Q3402" s="4"/>
      <c r="R3402" s="4"/>
      <c r="S3402" s="4"/>
      <c r="T3402" s="4"/>
      <c r="U3402" s="4"/>
      <c r="V3402" s="4"/>
      <c r="W3402" s="4"/>
      <c r="X3402" s="4"/>
      <c r="Y3402" s="4"/>
      <c r="Z3402" s="4"/>
      <c r="AA3402" s="4"/>
      <c r="AB3402" s="5"/>
    </row>
    <row r="3403" spans="1:28" x14ac:dyDescent="0.35">
      <c r="A3403" s="3"/>
      <c r="B3403" s="4"/>
      <c r="C3403" s="4"/>
      <c r="D3403" s="4"/>
      <c r="E3403" s="4"/>
      <c r="F3403" s="4"/>
      <c r="G3403" s="4"/>
      <c r="H3403" s="4"/>
      <c r="I3403" s="4"/>
      <c r="J3403" s="4"/>
      <c r="K3403" s="4"/>
      <c r="L3403" s="4"/>
      <c r="M3403" s="4"/>
      <c r="N3403" s="4"/>
      <c r="O3403" s="4"/>
      <c r="P3403" s="4"/>
      <c r="Q3403" s="4"/>
      <c r="R3403" s="4"/>
      <c r="S3403" s="4"/>
      <c r="T3403" s="4"/>
      <c r="U3403" s="4"/>
      <c r="V3403" s="4"/>
      <c r="W3403" s="4"/>
      <c r="X3403" s="4"/>
      <c r="Y3403" s="4"/>
      <c r="Z3403" s="4"/>
      <c r="AA3403" s="4"/>
      <c r="AB3403" s="5"/>
    </row>
    <row r="3404" spans="1:28" x14ac:dyDescent="0.35">
      <c r="A3404" s="3"/>
      <c r="B3404" s="4"/>
      <c r="C3404" s="4"/>
      <c r="D3404" s="4"/>
      <c r="E3404" s="4"/>
      <c r="F3404" s="4"/>
      <c r="G3404" s="4"/>
      <c r="H3404" s="4"/>
      <c r="I3404" s="4"/>
      <c r="J3404" s="4"/>
      <c r="K3404" s="4"/>
      <c r="L3404" s="4"/>
      <c r="M3404" s="4"/>
      <c r="N3404" s="4"/>
      <c r="O3404" s="4"/>
      <c r="P3404" s="4"/>
      <c r="Q3404" s="4"/>
      <c r="R3404" s="4"/>
      <c r="S3404" s="4"/>
      <c r="T3404" s="4"/>
      <c r="U3404" s="4"/>
      <c r="V3404" s="4"/>
      <c r="W3404" s="4"/>
      <c r="X3404" s="4"/>
      <c r="Y3404" s="4"/>
      <c r="Z3404" s="4"/>
      <c r="AA3404" s="4"/>
      <c r="AB3404" s="5"/>
    </row>
    <row r="3405" spans="1:28" x14ac:dyDescent="0.35">
      <c r="A3405" s="3"/>
      <c r="B3405" s="4"/>
      <c r="C3405" s="4"/>
      <c r="D3405" s="4"/>
      <c r="E3405" s="4"/>
      <c r="F3405" s="4"/>
      <c r="G3405" s="4"/>
      <c r="H3405" s="4"/>
      <c r="I3405" s="4"/>
      <c r="J3405" s="4"/>
      <c r="K3405" s="4"/>
      <c r="L3405" s="4"/>
      <c r="M3405" s="4"/>
      <c r="N3405" s="4"/>
      <c r="O3405" s="4"/>
      <c r="P3405" s="4"/>
      <c r="Q3405" s="4"/>
      <c r="R3405" s="4"/>
      <c r="S3405" s="4"/>
      <c r="T3405" s="4"/>
      <c r="U3405" s="4"/>
      <c r="V3405" s="4"/>
      <c r="W3405" s="4"/>
      <c r="X3405" s="4"/>
      <c r="Y3405" s="4"/>
      <c r="Z3405" s="4"/>
      <c r="AA3405" s="4"/>
      <c r="AB3405" s="5"/>
    </row>
    <row r="3406" spans="1:28" x14ac:dyDescent="0.35">
      <c r="A3406" s="3"/>
      <c r="B3406" s="4"/>
      <c r="C3406" s="4"/>
      <c r="D3406" s="4"/>
      <c r="E3406" s="4"/>
      <c r="F3406" s="4"/>
      <c r="G3406" s="4"/>
      <c r="H3406" s="4"/>
      <c r="I3406" s="4"/>
      <c r="J3406" s="4"/>
      <c r="K3406" s="4"/>
      <c r="L3406" s="4"/>
      <c r="M3406" s="4"/>
      <c r="N3406" s="4"/>
      <c r="O3406" s="4"/>
      <c r="P3406" s="4"/>
      <c r="Q3406" s="4"/>
      <c r="R3406" s="4"/>
      <c r="S3406" s="4"/>
      <c r="T3406" s="4"/>
      <c r="U3406" s="4"/>
      <c r="V3406" s="4"/>
      <c r="W3406" s="4"/>
      <c r="X3406" s="4"/>
      <c r="Y3406" s="4"/>
      <c r="Z3406" s="4"/>
      <c r="AA3406" s="4"/>
      <c r="AB3406" s="5"/>
    </row>
    <row r="3407" spans="1:28" x14ac:dyDescent="0.35">
      <c r="A3407" s="3"/>
      <c r="B3407" s="4"/>
      <c r="C3407" s="4"/>
      <c r="D3407" s="4"/>
      <c r="E3407" s="4"/>
      <c r="F3407" s="4"/>
      <c r="G3407" s="4"/>
      <c r="H3407" s="4"/>
      <c r="I3407" s="4"/>
      <c r="J3407" s="4"/>
      <c r="K3407" s="4"/>
      <c r="L3407" s="4"/>
      <c r="M3407" s="4"/>
      <c r="N3407" s="4"/>
      <c r="O3407" s="4"/>
      <c r="P3407" s="4"/>
      <c r="Q3407" s="4"/>
      <c r="R3407" s="4"/>
      <c r="S3407" s="4"/>
      <c r="T3407" s="4"/>
      <c r="U3407" s="4"/>
      <c r="V3407" s="4"/>
      <c r="W3407" s="4"/>
      <c r="X3407" s="4"/>
      <c r="Y3407" s="4"/>
      <c r="Z3407" s="4"/>
      <c r="AA3407" s="4"/>
      <c r="AB3407" s="5"/>
    </row>
    <row r="3408" spans="1:28" x14ac:dyDescent="0.35">
      <c r="A3408" s="3"/>
      <c r="B3408" s="4"/>
      <c r="C3408" s="4"/>
      <c r="D3408" s="4"/>
      <c r="E3408" s="4"/>
      <c r="F3408" s="4"/>
      <c r="G3408" s="4"/>
      <c r="H3408" s="4"/>
      <c r="I3408" s="4"/>
      <c r="J3408" s="4"/>
      <c r="K3408" s="4"/>
      <c r="L3408" s="4"/>
      <c r="M3408" s="4"/>
      <c r="N3408" s="4"/>
      <c r="O3408" s="4"/>
      <c r="P3408" s="4"/>
      <c r="Q3408" s="4"/>
      <c r="R3408" s="4"/>
      <c r="S3408" s="4"/>
      <c r="T3408" s="4"/>
      <c r="U3408" s="4"/>
      <c r="V3408" s="4"/>
      <c r="W3408" s="4"/>
      <c r="X3408" s="4"/>
      <c r="Y3408" s="4"/>
      <c r="Z3408" s="4"/>
      <c r="AA3408" s="4"/>
      <c r="AB3408" s="5"/>
    </row>
    <row r="3409" spans="1:28" x14ac:dyDescent="0.35">
      <c r="A3409" s="3"/>
      <c r="B3409" s="4"/>
      <c r="C3409" s="4"/>
      <c r="D3409" s="4"/>
      <c r="E3409" s="4"/>
      <c r="F3409" s="4"/>
      <c r="G3409" s="4"/>
      <c r="H3409" s="4"/>
      <c r="I3409" s="4"/>
      <c r="J3409" s="4"/>
      <c r="K3409" s="4"/>
      <c r="L3409" s="4"/>
      <c r="M3409" s="4"/>
      <c r="N3409" s="4"/>
      <c r="O3409" s="4"/>
      <c r="P3409" s="4"/>
      <c r="Q3409" s="4"/>
      <c r="R3409" s="4"/>
      <c r="S3409" s="4"/>
      <c r="T3409" s="4"/>
      <c r="U3409" s="4"/>
      <c r="V3409" s="4"/>
      <c r="W3409" s="4"/>
      <c r="X3409" s="4"/>
      <c r="Y3409" s="4"/>
      <c r="Z3409" s="4"/>
      <c r="AA3409" s="4"/>
      <c r="AB3409" s="5"/>
    </row>
    <row r="3410" spans="1:28" x14ac:dyDescent="0.35">
      <c r="A3410" s="3"/>
      <c r="B3410" s="4"/>
      <c r="C3410" s="4"/>
      <c r="D3410" s="4"/>
      <c r="E3410" s="4"/>
      <c r="F3410" s="4"/>
      <c r="G3410" s="4"/>
      <c r="H3410" s="4"/>
      <c r="I3410" s="4"/>
      <c r="J3410" s="4"/>
      <c r="K3410" s="4"/>
      <c r="L3410" s="4"/>
      <c r="M3410" s="4"/>
      <c r="N3410" s="4"/>
      <c r="O3410" s="4"/>
      <c r="P3410" s="4"/>
      <c r="Q3410" s="4"/>
      <c r="R3410" s="4"/>
      <c r="S3410" s="4"/>
      <c r="T3410" s="4"/>
      <c r="U3410" s="4"/>
      <c r="V3410" s="4"/>
      <c r="W3410" s="4"/>
      <c r="X3410" s="4"/>
      <c r="Y3410" s="4"/>
      <c r="Z3410" s="4"/>
      <c r="AA3410" s="4"/>
      <c r="AB3410" s="5"/>
    </row>
    <row r="3411" spans="1:28" x14ac:dyDescent="0.35">
      <c r="A3411" s="3"/>
      <c r="B3411" s="4"/>
      <c r="C3411" s="4"/>
      <c r="D3411" s="4"/>
      <c r="E3411" s="4"/>
      <c r="F3411" s="4"/>
      <c r="G3411" s="4"/>
      <c r="H3411" s="4"/>
      <c r="I3411" s="4"/>
      <c r="J3411" s="4"/>
      <c r="K3411" s="4"/>
      <c r="L3411" s="4"/>
      <c r="M3411" s="4"/>
      <c r="N3411" s="4"/>
      <c r="O3411" s="4"/>
      <c r="P3411" s="4"/>
      <c r="Q3411" s="4"/>
      <c r="R3411" s="4"/>
      <c r="S3411" s="4"/>
      <c r="T3411" s="4"/>
      <c r="U3411" s="4"/>
      <c r="V3411" s="4"/>
      <c r="W3411" s="4"/>
      <c r="X3411" s="4"/>
      <c r="Y3411" s="4"/>
      <c r="Z3411" s="4"/>
      <c r="AA3411" s="4"/>
      <c r="AB3411" s="5"/>
    </row>
    <row r="3412" spans="1:28" x14ac:dyDescent="0.35">
      <c r="A3412" s="3"/>
      <c r="B3412" s="4"/>
      <c r="C3412" s="4"/>
      <c r="D3412" s="4"/>
      <c r="E3412" s="4"/>
      <c r="F3412" s="4"/>
      <c r="G3412" s="4"/>
      <c r="H3412" s="4"/>
      <c r="I3412" s="4"/>
      <c r="J3412" s="4"/>
      <c r="K3412" s="4"/>
      <c r="L3412" s="4"/>
      <c r="M3412" s="4"/>
      <c r="N3412" s="4"/>
      <c r="O3412" s="4"/>
      <c r="P3412" s="4"/>
      <c r="Q3412" s="4"/>
      <c r="R3412" s="4"/>
      <c r="S3412" s="4"/>
      <c r="T3412" s="4"/>
      <c r="U3412" s="4"/>
      <c r="V3412" s="4"/>
      <c r="W3412" s="4"/>
      <c r="X3412" s="4"/>
      <c r="Y3412" s="4"/>
      <c r="Z3412" s="4"/>
      <c r="AA3412" s="4"/>
      <c r="AB3412" s="5"/>
    </row>
    <row r="3413" spans="1:28" x14ac:dyDescent="0.35">
      <c r="A3413" s="3"/>
      <c r="B3413" s="4"/>
      <c r="C3413" s="4"/>
      <c r="D3413" s="4"/>
      <c r="E3413" s="4"/>
      <c r="F3413" s="4"/>
      <c r="G3413" s="4"/>
      <c r="H3413" s="4"/>
      <c r="I3413" s="4"/>
      <c r="J3413" s="4"/>
      <c r="K3413" s="4"/>
      <c r="L3413" s="4"/>
      <c r="M3413" s="4"/>
      <c r="N3413" s="4"/>
      <c r="O3413" s="4"/>
      <c r="P3413" s="4"/>
      <c r="Q3413" s="4"/>
      <c r="R3413" s="4"/>
      <c r="S3413" s="4"/>
      <c r="T3413" s="4"/>
      <c r="U3413" s="4"/>
      <c r="V3413" s="4"/>
      <c r="W3413" s="4"/>
      <c r="X3413" s="4"/>
      <c r="Y3413" s="4"/>
      <c r="Z3413" s="4"/>
      <c r="AA3413" s="4"/>
      <c r="AB3413" s="5"/>
    </row>
    <row r="3414" spans="1:28" x14ac:dyDescent="0.35">
      <c r="A3414" s="3"/>
      <c r="B3414" s="4"/>
      <c r="C3414" s="4"/>
      <c r="D3414" s="4"/>
      <c r="E3414" s="4"/>
      <c r="F3414" s="4"/>
      <c r="G3414" s="4"/>
      <c r="H3414" s="4"/>
      <c r="I3414" s="4"/>
      <c r="J3414" s="4"/>
      <c r="K3414" s="4"/>
      <c r="L3414" s="4"/>
      <c r="M3414" s="4"/>
      <c r="N3414" s="4"/>
      <c r="O3414" s="4"/>
      <c r="P3414" s="4"/>
      <c r="Q3414" s="4"/>
      <c r="R3414" s="4"/>
      <c r="S3414" s="4"/>
      <c r="T3414" s="4"/>
      <c r="U3414" s="4"/>
      <c r="V3414" s="4"/>
      <c r="W3414" s="4"/>
      <c r="X3414" s="4"/>
      <c r="Y3414" s="4"/>
      <c r="Z3414" s="4"/>
      <c r="AA3414" s="4"/>
      <c r="AB3414" s="5"/>
    </row>
    <row r="3415" spans="1:28" x14ac:dyDescent="0.35">
      <c r="A3415" s="3"/>
      <c r="B3415" s="4"/>
      <c r="C3415" s="4"/>
      <c r="D3415" s="4"/>
      <c r="E3415" s="4"/>
      <c r="F3415" s="4"/>
      <c r="G3415" s="4"/>
      <c r="H3415" s="4"/>
      <c r="I3415" s="4"/>
      <c r="J3415" s="4"/>
      <c r="K3415" s="4"/>
      <c r="L3415" s="4"/>
      <c r="M3415" s="4"/>
      <c r="N3415" s="4"/>
      <c r="O3415" s="4"/>
      <c r="P3415" s="4"/>
      <c r="Q3415" s="4"/>
      <c r="R3415" s="4"/>
      <c r="S3415" s="4"/>
      <c r="T3415" s="4"/>
      <c r="U3415" s="4"/>
      <c r="V3415" s="4"/>
      <c r="W3415" s="4"/>
      <c r="X3415" s="4"/>
      <c r="Y3415" s="4"/>
      <c r="Z3415" s="4"/>
      <c r="AA3415" s="4"/>
      <c r="AB3415" s="5"/>
    </row>
    <row r="3416" spans="1:28" x14ac:dyDescent="0.35">
      <c r="A3416" s="3"/>
      <c r="B3416" s="4"/>
      <c r="C3416" s="4"/>
      <c r="D3416" s="4"/>
      <c r="E3416" s="4"/>
      <c r="F3416" s="4"/>
      <c r="G3416" s="4"/>
      <c r="H3416" s="4"/>
      <c r="I3416" s="4"/>
      <c r="J3416" s="4"/>
      <c r="K3416" s="4"/>
      <c r="L3416" s="4"/>
      <c r="M3416" s="4"/>
      <c r="N3416" s="4"/>
      <c r="O3416" s="4"/>
      <c r="P3416" s="4"/>
      <c r="Q3416" s="4"/>
      <c r="R3416" s="4"/>
      <c r="S3416" s="4"/>
      <c r="T3416" s="4"/>
      <c r="U3416" s="4"/>
      <c r="V3416" s="4"/>
      <c r="W3416" s="4"/>
      <c r="X3416" s="4"/>
      <c r="Y3416" s="4"/>
      <c r="Z3416" s="4"/>
      <c r="AA3416" s="4"/>
      <c r="AB3416" s="5"/>
    </row>
    <row r="3417" spans="1:28" x14ac:dyDescent="0.35">
      <c r="A3417" s="3"/>
      <c r="B3417" s="4"/>
      <c r="C3417" s="4"/>
      <c r="D3417" s="4"/>
      <c r="E3417" s="4"/>
      <c r="F3417" s="4"/>
      <c r="G3417" s="4"/>
      <c r="H3417" s="4"/>
      <c r="I3417" s="4"/>
      <c r="J3417" s="4"/>
      <c r="K3417" s="4"/>
      <c r="L3417" s="4"/>
      <c r="M3417" s="4"/>
      <c r="N3417" s="4"/>
      <c r="O3417" s="4"/>
      <c r="P3417" s="4"/>
      <c r="Q3417" s="4"/>
      <c r="R3417" s="4"/>
      <c r="S3417" s="4"/>
      <c r="T3417" s="4"/>
      <c r="U3417" s="4"/>
      <c r="V3417" s="4"/>
      <c r="W3417" s="4"/>
      <c r="X3417" s="4"/>
      <c r="Y3417" s="4"/>
      <c r="Z3417" s="4"/>
      <c r="AA3417" s="4"/>
      <c r="AB3417" s="5"/>
    </row>
    <row r="3418" spans="1:28" x14ac:dyDescent="0.35">
      <c r="A3418" s="3"/>
      <c r="B3418" s="4"/>
      <c r="C3418" s="4"/>
      <c r="D3418" s="4"/>
      <c r="E3418" s="4"/>
      <c r="F3418" s="4"/>
      <c r="G3418" s="4"/>
      <c r="H3418" s="4"/>
      <c r="I3418" s="4"/>
      <c r="J3418" s="4"/>
      <c r="K3418" s="4"/>
      <c r="L3418" s="4"/>
      <c r="M3418" s="4"/>
      <c r="N3418" s="4"/>
      <c r="O3418" s="4"/>
      <c r="P3418" s="4"/>
      <c r="Q3418" s="4"/>
      <c r="R3418" s="4"/>
      <c r="S3418" s="4"/>
      <c r="T3418" s="4"/>
      <c r="U3418" s="4"/>
      <c r="V3418" s="4"/>
      <c r="W3418" s="4"/>
      <c r="X3418" s="4"/>
      <c r="Y3418" s="4"/>
      <c r="Z3418" s="4"/>
      <c r="AA3418" s="4"/>
      <c r="AB3418" s="5"/>
    </row>
    <row r="3419" spans="1:28" x14ac:dyDescent="0.35">
      <c r="A3419" s="3"/>
      <c r="B3419" s="4"/>
      <c r="C3419" s="4"/>
      <c r="D3419" s="4"/>
      <c r="E3419" s="4"/>
      <c r="F3419" s="4"/>
      <c r="G3419" s="4"/>
      <c r="H3419" s="4"/>
      <c r="I3419" s="4"/>
      <c r="J3419" s="4"/>
      <c r="K3419" s="4"/>
      <c r="L3419" s="4"/>
      <c r="M3419" s="4"/>
      <c r="N3419" s="4"/>
      <c r="O3419" s="4"/>
      <c r="P3419" s="4"/>
      <c r="Q3419" s="4"/>
      <c r="R3419" s="4"/>
      <c r="S3419" s="4"/>
      <c r="T3419" s="4"/>
      <c r="U3419" s="4"/>
      <c r="V3419" s="4"/>
      <c r="W3419" s="4"/>
      <c r="X3419" s="4"/>
      <c r="Y3419" s="4"/>
      <c r="Z3419" s="4"/>
      <c r="AA3419" s="4"/>
      <c r="AB3419" s="5"/>
    </row>
    <row r="3420" spans="1:28" x14ac:dyDescent="0.35">
      <c r="A3420" s="3"/>
      <c r="B3420" s="4"/>
      <c r="C3420" s="4"/>
      <c r="D3420" s="4"/>
      <c r="E3420" s="4"/>
      <c r="F3420" s="4"/>
      <c r="G3420" s="4"/>
      <c r="H3420" s="4"/>
      <c r="I3420" s="4"/>
      <c r="J3420" s="4"/>
      <c r="K3420" s="4"/>
      <c r="L3420" s="4"/>
      <c r="M3420" s="4"/>
      <c r="N3420" s="4"/>
      <c r="O3420" s="4"/>
      <c r="P3420" s="4"/>
      <c r="Q3420" s="4"/>
      <c r="R3420" s="4"/>
      <c r="S3420" s="4"/>
      <c r="T3420" s="4"/>
      <c r="U3420" s="4"/>
      <c r="V3420" s="4"/>
      <c r="W3420" s="4"/>
      <c r="X3420" s="4"/>
      <c r="Y3420" s="4"/>
      <c r="Z3420" s="4"/>
      <c r="AA3420" s="4"/>
      <c r="AB3420" s="5"/>
    </row>
    <row r="3421" spans="1:28" x14ac:dyDescent="0.35">
      <c r="A3421" s="3"/>
      <c r="B3421" s="4"/>
      <c r="C3421" s="4"/>
      <c r="D3421" s="4"/>
      <c r="E3421" s="4"/>
      <c r="F3421" s="4"/>
      <c r="G3421" s="4"/>
      <c r="H3421" s="4"/>
      <c r="I3421" s="4"/>
      <c r="J3421" s="4"/>
      <c r="K3421" s="4"/>
      <c r="L3421" s="4"/>
      <c r="M3421" s="4"/>
      <c r="N3421" s="4"/>
      <c r="O3421" s="4"/>
      <c r="P3421" s="4"/>
      <c r="Q3421" s="4"/>
      <c r="R3421" s="4"/>
      <c r="S3421" s="4"/>
      <c r="T3421" s="4"/>
      <c r="U3421" s="4"/>
      <c r="V3421" s="4"/>
      <c r="W3421" s="4"/>
      <c r="X3421" s="4"/>
      <c r="Y3421" s="4"/>
      <c r="Z3421" s="4"/>
      <c r="AA3421" s="4"/>
      <c r="AB3421" s="5"/>
    </row>
    <row r="3422" spans="1:28" x14ac:dyDescent="0.35">
      <c r="A3422" s="3"/>
      <c r="B3422" s="4"/>
      <c r="C3422" s="4"/>
      <c r="D3422" s="4"/>
      <c r="E3422" s="4"/>
      <c r="F3422" s="4"/>
      <c r="G3422" s="4"/>
      <c r="H3422" s="4"/>
      <c r="I3422" s="4"/>
      <c r="J3422" s="4"/>
      <c r="K3422" s="4"/>
      <c r="L3422" s="4"/>
      <c r="M3422" s="4"/>
      <c r="N3422" s="4"/>
      <c r="O3422" s="4"/>
      <c r="P3422" s="4"/>
      <c r="Q3422" s="4"/>
      <c r="R3422" s="4"/>
      <c r="S3422" s="4"/>
      <c r="T3422" s="4"/>
      <c r="U3422" s="4"/>
      <c r="V3422" s="4"/>
      <c r="W3422" s="4"/>
      <c r="X3422" s="4"/>
      <c r="Y3422" s="4"/>
      <c r="Z3422" s="4"/>
      <c r="AA3422" s="4"/>
      <c r="AB3422" s="5"/>
    </row>
    <row r="3423" spans="1:28" x14ac:dyDescent="0.35">
      <c r="A3423" s="3"/>
      <c r="B3423" s="4"/>
      <c r="C3423" s="4"/>
      <c r="D3423" s="4"/>
      <c r="E3423" s="4"/>
      <c r="F3423" s="4"/>
      <c r="G3423" s="4"/>
      <c r="H3423" s="4"/>
      <c r="I3423" s="4"/>
      <c r="J3423" s="4"/>
      <c r="K3423" s="4"/>
      <c r="L3423" s="4"/>
      <c r="M3423" s="4"/>
      <c r="N3423" s="4"/>
      <c r="O3423" s="4"/>
      <c r="P3423" s="4"/>
      <c r="Q3423" s="4"/>
      <c r="R3423" s="4"/>
      <c r="S3423" s="4"/>
      <c r="T3423" s="4"/>
      <c r="U3423" s="4"/>
      <c r="V3423" s="4"/>
      <c r="W3423" s="4"/>
      <c r="X3423" s="4"/>
      <c r="Y3423" s="4"/>
      <c r="Z3423" s="4"/>
      <c r="AA3423" s="4"/>
      <c r="AB3423" s="5"/>
    </row>
    <row r="3424" spans="1:28" x14ac:dyDescent="0.35">
      <c r="A3424" s="3"/>
      <c r="B3424" s="4"/>
      <c r="C3424" s="4"/>
      <c r="D3424" s="4"/>
      <c r="E3424" s="4"/>
      <c r="F3424" s="4"/>
      <c r="G3424" s="4"/>
      <c r="H3424" s="4"/>
      <c r="I3424" s="4"/>
      <c r="J3424" s="4"/>
      <c r="K3424" s="4"/>
      <c r="L3424" s="4"/>
      <c r="M3424" s="4"/>
      <c r="N3424" s="4"/>
      <c r="O3424" s="4"/>
      <c r="P3424" s="4"/>
      <c r="Q3424" s="4"/>
      <c r="R3424" s="4"/>
      <c r="S3424" s="4"/>
      <c r="T3424" s="4"/>
      <c r="U3424" s="4"/>
      <c r="V3424" s="4"/>
      <c r="W3424" s="4"/>
      <c r="X3424" s="4"/>
      <c r="Y3424" s="4"/>
      <c r="Z3424" s="4"/>
      <c r="AA3424" s="4"/>
      <c r="AB3424" s="5"/>
    </row>
    <row r="3425" spans="1:28" x14ac:dyDescent="0.35">
      <c r="A3425" s="3"/>
      <c r="B3425" s="4"/>
      <c r="C3425" s="4"/>
      <c r="D3425" s="4"/>
      <c r="E3425" s="4"/>
      <c r="F3425" s="4"/>
      <c r="G3425" s="4"/>
      <c r="H3425" s="4"/>
      <c r="I3425" s="4"/>
      <c r="J3425" s="4"/>
      <c r="K3425" s="4"/>
      <c r="L3425" s="4"/>
      <c r="M3425" s="4"/>
      <c r="N3425" s="4"/>
      <c r="O3425" s="4"/>
      <c r="P3425" s="4"/>
      <c r="Q3425" s="4"/>
      <c r="R3425" s="4"/>
      <c r="S3425" s="4"/>
      <c r="T3425" s="4"/>
      <c r="U3425" s="4"/>
      <c r="V3425" s="4"/>
      <c r="W3425" s="4"/>
      <c r="X3425" s="4"/>
      <c r="Y3425" s="4"/>
      <c r="Z3425" s="4"/>
      <c r="AA3425" s="4"/>
      <c r="AB3425" s="5"/>
    </row>
    <row r="3426" spans="1:28" x14ac:dyDescent="0.35">
      <c r="A3426" s="3"/>
      <c r="B3426" s="4"/>
      <c r="C3426" s="4"/>
      <c r="D3426" s="4"/>
      <c r="E3426" s="4"/>
      <c r="F3426" s="4"/>
      <c r="G3426" s="4"/>
      <c r="H3426" s="4"/>
      <c r="I3426" s="4"/>
      <c r="J3426" s="4"/>
      <c r="K3426" s="4"/>
      <c r="L3426" s="4"/>
      <c r="M3426" s="4"/>
      <c r="N3426" s="4"/>
      <c r="O3426" s="4"/>
      <c r="P3426" s="4"/>
      <c r="Q3426" s="4"/>
      <c r="R3426" s="4"/>
      <c r="S3426" s="4"/>
      <c r="T3426" s="4"/>
      <c r="U3426" s="4"/>
      <c r="V3426" s="4"/>
      <c r="W3426" s="4"/>
      <c r="X3426" s="4"/>
      <c r="Y3426" s="4"/>
      <c r="Z3426" s="4"/>
      <c r="AA3426" s="4"/>
      <c r="AB3426" s="5"/>
    </row>
    <row r="3427" spans="1:28" x14ac:dyDescent="0.35">
      <c r="A3427" s="3"/>
      <c r="B3427" s="4"/>
      <c r="C3427" s="4"/>
      <c r="D3427" s="4"/>
      <c r="E3427" s="4"/>
      <c r="F3427" s="4"/>
      <c r="G3427" s="4"/>
      <c r="H3427" s="4"/>
      <c r="I3427" s="4"/>
      <c r="J3427" s="4"/>
      <c r="K3427" s="4"/>
      <c r="L3427" s="4"/>
      <c r="M3427" s="4"/>
      <c r="N3427" s="4"/>
      <c r="O3427" s="4"/>
      <c r="P3427" s="4"/>
      <c r="Q3427" s="4"/>
      <c r="R3427" s="4"/>
      <c r="S3427" s="4"/>
      <c r="T3427" s="4"/>
      <c r="U3427" s="4"/>
      <c r="V3427" s="4"/>
      <c r="W3427" s="4"/>
      <c r="X3427" s="4"/>
      <c r="Y3427" s="4"/>
      <c r="Z3427" s="4"/>
      <c r="AA3427" s="4"/>
      <c r="AB3427" s="5"/>
    </row>
    <row r="3428" spans="1:28" x14ac:dyDescent="0.35">
      <c r="A3428" s="3"/>
      <c r="B3428" s="4"/>
      <c r="C3428" s="4"/>
      <c r="D3428" s="4"/>
      <c r="E3428" s="4"/>
      <c r="F3428" s="4"/>
      <c r="G3428" s="4"/>
      <c r="H3428" s="4"/>
      <c r="I3428" s="4"/>
      <c r="J3428" s="4"/>
      <c r="K3428" s="4"/>
      <c r="L3428" s="4"/>
      <c r="M3428" s="4"/>
      <c r="N3428" s="4"/>
      <c r="O3428" s="4"/>
      <c r="P3428" s="4"/>
      <c r="Q3428" s="4"/>
      <c r="R3428" s="4"/>
      <c r="S3428" s="4"/>
      <c r="T3428" s="4"/>
      <c r="U3428" s="4"/>
      <c r="V3428" s="4"/>
      <c r="W3428" s="4"/>
      <c r="X3428" s="4"/>
      <c r="Y3428" s="4"/>
      <c r="Z3428" s="4"/>
      <c r="AA3428" s="4"/>
      <c r="AB3428" s="5"/>
    </row>
    <row r="3429" spans="1:28" x14ac:dyDescent="0.35">
      <c r="A3429" s="3"/>
      <c r="B3429" s="4"/>
      <c r="C3429" s="4"/>
      <c r="D3429" s="4"/>
      <c r="E3429" s="4"/>
      <c r="F3429" s="4"/>
      <c r="G3429" s="4"/>
      <c r="H3429" s="4"/>
      <c r="I3429" s="4"/>
      <c r="J3429" s="4"/>
      <c r="K3429" s="4"/>
      <c r="L3429" s="4"/>
      <c r="M3429" s="4"/>
      <c r="N3429" s="4"/>
      <c r="O3429" s="4"/>
      <c r="P3429" s="4"/>
      <c r="Q3429" s="4"/>
      <c r="R3429" s="4"/>
      <c r="S3429" s="4"/>
      <c r="T3429" s="4"/>
      <c r="U3429" s="4"/>
      <c r="V3429" s="4"/>
      <c r="W3429" s="4"/>
      <c r="X3429" s="4"/>
      <c r="Y3429" s="4"/>
      <c r="Z3429" s="4"/>
      <c r="AA3429" s="4"/>
      <c r="AB3429" s="5"/>
    </row>
    <row r="3430" spans="1:28" x14ac:dyDescent="0.35">
      <c r="A3430" s="3"/>
      <c r="B3430" s="4"/>
      <c r="C3430" s="4"/>
      <c r="D3430" s="4"/>
      <c r="E3430" s="4"/>
      <c r="F3430" s="4"/>
      <c r="G3430" s="4"/>
      <c r="H3430" s="4"/>
      <c r="I3430" s="4"/>
      <c r="J3430" s="4"/>
      <c r="K3430" s="4"/>
      <c r="L3430" s="4"/>
      <c r="M3430" s="4"/>
      <c r="N3430" s="4"/>
      <c r="O3430" s="4"/>
      <c r="P3430" s="4"/>
      <c r="Q3430" s="4"/>
      <c r="R3430" s="4"/>
      <c r="S3430" s="4"/>
      <c r="T3430" s="4"/>
      <c r="U3430" s="4"/>
      <c r="V3430" s="4"/>
      <c r="W3430" s="4"/>
      <c r="X3430" s="4"/>
      <c r="Y3430" s="4"/>
      <c r="Z3430" s="4"/>
      <c r="AA3430" s="4"/>
      <c r="AB3430" s="5"/>
    </row>
    <row r="3431" spans="1:28" x14ac:dyDescent="0.35">
      <c r="A3431" s="3"/>
      <c r="B3431" s="4"/>
      <c r="C3431" s="4"/>
      <c r="D3431" s="4"/>
      <c r="E3431" s="4"/>
      <c r="F3431" s="4"/>
      <c r="G3431" s="4"/>
      <c r="H3431" s="4"/>
      <c r="I3431" s="4"/>
      <c r="J3431" s="4"/>
      <c r="K3431" s="4"/>
      <c r="L3431" s="4"/>
      <c r="M3431" s="4"/>
      <c r="N3431" s="4"/>
      <c r="O3431" s="4"/>
      <c r="P3431" s="4"/>
      <c r="Q3431" s="4"/>
      <c r="R3431" s="4"/>
      <c r="S3431" s="4"/>
      <c r="T3431" s="4"/>
      <c r="U3431" s="4"/>
      <c r="V3431" s="4"/>
      <c r="W3431" s="4"/>
      <c r="X3431" s="4"/>
      <c r="Y3431" s="4"/>
      <c r="Z3431" s="4"/>
      <c r="AA3431" s="4"/>
      <c r="AB3431" s="5"/>
    </row>
    <row r="3432" spans="1:28" x14ac:dyDescent="0.35">
      <c r="A3432" s="3"/>
      <c r="B3432" s="4"/>
      <c r="C3432" s="4"/>
      <c r="D3432" s="4"/>
      <c r="E3432" s="4"/>
      <c r="F3432" s="4"/>
      <c r="G3432" s="4"/>
      <c r="H3432" s="4"/>
      <c r="I3432" s="4"/>
      <c r="J3432" s="4"/>
      <c r="K3432" s="4"/>
      <c r="L3432" s="4"/>
      <c r="M3432" s="4"/>
      <c r="N3432" s="4"/>
      <c r="O3432" s="4"/>
      <c r="P3432" s="4"/>
      <c r="Q3432" s="4"/>
      <c r="R3432" s="4"/>
      <c r="S3432" s="4"/>
      <c r="T3432" s="4"/>
      <c r="U3432" s="4"/>
      <c r="V3432" s="4"/>
      <c r="W3432" s="4"/>
      <c r="X3432" s="4"/>
      <c r="Y3432" s="4"/>
      <c r="Z3432" s="4"/>
      <c r="AA3432" s="4"/>
      <c r="AB3432" s="5"/>
    </row>
    <row r="3433" spans="1:28" x14ac:dyDescent="0.35">
      <c r="A3433" s="3"/>
      <c r="B3433" s="4"/>
      <c r="C3433" s="4"/>
      <c r="D3433" s="4"/>
      <c r="E3433" s="4"/>
      <c r="F3433" s="4"/>
      <c r="G3433" s="4"/>
      <c r="H3433" s="4"/>
      <c r="I3433" s="4"/>
      <c r="J3433" s="4"/>
      <c r="K3433" s="4"/>
      <c r="L3433" s="4"/>
      <c r="M3433" s="4"/>
      <c r="N3433" s="4"/>
      <c r="O3433" s="4"/>
      <c r="P3433" s="4"/>
      <c r="Q3433" s="4"/>
      <c r="R3433" s="4"/>
      <c r="S3433" s="4"/>
      <c r="T3433" s="4"/>
      <c r="U3433" s="4"/>
      <c r="V3433" s="4"/>
      <c r="W3433" s="4"/>
      <c r="X3433" s="4"/>
      <c r="Y3433" s="4"/>
      <c r="Z3433" s="4"/>
      <c r="AA3433" s="4"/>
      <c r="AB3433" s="5"/>
    </row>
    <row r="3434" spans="1:28" x14ac:dyDescent="0.35">
      <c r="A3434" s="3"/>
      <c r="B3434" s="4"/>
      <c r="C3434" s="4"/>
      <c r="D3434" s="4"/>
      <c r="E3434" s="4"/>
      <c r="F3434" s="4"/>
      <c r="G3434" s="4"/>
      <c r="H3434" s="4"/>
      <c r="I3434" s="4"/>
      <c r="J3434" s="4"/>
      <c r="K3434" s="4"/>
      <c r="L3434" s="4"/>
      <c r="M3434" s="4"/>
      <c r="N3434" s="4"/>
      <c r="O3434" s="4"/>
      <c r="P3434" s="4"/>
      <c r="Q3434" s="4"/>
      <c r="R3434" s="4"/>
      <c r="S3434" s="4"/>
      <c r="T3434" s="4"/>
      <c r="U3434" s="4"/>
      <c r="V3434" s="4"/>
      <c r="W3434" s="4"/>
      <c r="X3434" s="4"/>
      <c r="Y3434" s="4"/>
      <c r="Z3434" s="4"/>
      <c r="AA3434" s="4"/>
      <c r="AB3434" s="5"/>
    </row>
    <row r="3435" spans="1:28" x14ac:dyDescent="0.35">
      <c r="A3435" s="3"/>
      <c r="B3435" s="4"/>
      <c r="C3435" s="4"/>
      <c r="D3435" s="4"/>
      <c r="E3435" s="4"/>
      <c r="F3435" s="4"/>
      <c r="G3435" s="4"/>
      <c r="H3435" s="4"/>
      <c r="I3435" s="4"/>
      <c r="J3435" s="4"/>
      <c r="K3435" s="4"/>
      <c r="L3435" s="4"/>
      <c r="M3435" s="4"/>
      <c r="N3435" s="4"/>
      <c r="O3435" s="4"/>
      <c r="P3435" s="4"/>
      <c r="Q3435" s="4"/>
      <c r="R3435" s="4"/>
      <c r="S3435" s="4"/>
      <c r="T3435" s="4"/>
      <c r="U3435" s="4"/>
      <c r="V3435" s="4"/>
      <c r="W3435" s="4"/>
      <c r="X3435" s="4"/>
      <c r="Y3435" s="4"/>
      <c r="Z3435" s="4"/>
      <c r="AA3435" s="4"/>
      <c r="AB3435" s="5"/>
    </row>
    <row r="3436" spans="1:28" x14ac:dyDescent="0.35">
      <c r="A3436" s="3"/>
      <c r="B3436" s="4"/>
      <c r="C3436" s="4"/>
      <c r="D3436" s="4"/>
      <c r="E3436" s="4"/>
      <c r="F3436" s="4"/>
      <c r="G3436" s="4"/>
      <c r="H3436" s="4"/>
      <c r="I3436" s="4"/>
      <c r="J3436" s="4"/>
      <c r="K3436" s="4"/>
      <c r="L3436" s="4"/>
      <c r="M3436" s="4"/>
      <c r="N3436" s="4"/>
      <c r="O3436" s="4"/>
      <c r="P3436" s="4"/>
      <c r="Q3436" s="4"/>
      <c r="R3436" s="4"/>
      <c r="S3436" s="4"/>
      <c r="T3436" s="4"/>
      <c r="U3436" s="4"/>
      <c r="V3436" s="4"/>
      <c r="W3436" s="4"/>
      <c r="X3436" s="4"/>
      <c r="Y3436" s="4"/>
      <c r="Z3436" s="4"/>
      <c r="AA3436" s="4"/>
      <c r="AB3436" s="5"/>
    </row>
    <row r="3437" spans="1:28" x14ac:dyDescent="0.35">
      <c r="A3437" s="3"/>
      <c r="B3437" s="4"/>
      <c r="C3437" s="4"/>
      <c r="D3437" s="4"/>
      <c r="E3437" s="4"/>
      <c r="F3437" s="4"/>
      <c r="G3437" s="4"/>
      <c r="H3437" s="4"/>
      <c r="I3437" s="4"/>
      <c r="J3437" s="4"/>
      <c r="K3437" s="4"/>
      <c r="L3437" s="4"/>
      <c r="M3437" s="4"/>
      <c r="N3437" s="4"/>
      <c r="O3437" s="4"/>
      <c r="P3437" s="4"/>
      <c r="Q3437" s="4"/>
      <c r="R3437" s="4"/>
      <c r="S3437" s="4"/>
      <c r="T3437" s="4"/>
      <c r="U3437" s="4"/>
      <c r="V3437" s="4"/>
      <c r="W3437" s="4"/>
      <c r="X3437" s="4"/>
      <c r="Y3437" s="4"/>
      <c r="Z3437" s="4"/>
      <c r="AA3437" s="4"/>
      <c r="AB3437" s="5"/>
    </row>
    <row r="3438" spans="1:28" x14ac:dyDescent="0.35">
      <c r="A3438" s="3"/>
      <c r="B3438" s="4"/>
      <c r="C3438" s="4"/>
      <c r="D3438" s="4"/>
      <c r="E3438" s="4"/>
      <c r="F3438" s="4"/>
      <c r="G3438" s="4"/>
      <c r="H3438" s="4"/>
      <c r="I3438" s="4"/>
      <c r="J3438" s="4"/>
      <c r="K3438" s="4"/>
      <c r="L3438" s="4"/>
      <c r="M3438" s="4"/>
      <c r="N3438" s="4"/>
      <c r="O3438" s="4"/>
      <c r="P3438" s="4"/>
      <c r="Q3438" s="4"/>
      <c r="R3438" s="4"/>
      <c r="S3438" s="4"/>
      <c r="T3438" s="4"/>
      <c r="U3438" s="4"/>
      <c r="V3438" s="4"/>
      <c r="W3438" s="4"/>
      <c r="X3438" s="4"/>
      <c r="Y3438" s="4"/>
      <c r="Z3438" s="4"/>
      <c r="AA3438" s="4"/>
      <c r="AB3438" s="5"/>
    </row>
    <row r="3439" spans="1:28" x14ac:dyDescent="0.35">
      <c r="A3439" s="3"/>
      <c r="B3439" s="4"/>
      <c r="C3439" s="4"/>
      <c r="D3439" s="4"/>
      <c r="E3439" s="4"/>
      <c r="F3439" s="4"/>
      <c r="G3439" s="4"/>
      <c r="H3439" s="4"/>
      <c r="I3439" s="4"/>
      <c r="J3439" s="4"/>
      <c r="K3439" s="4"/>
      <c r="L3439" s="4"/>
      <c r="M3439" s="4"/>
      <c r="N3439" s="4"/>
      <c r="O3439" s="4"/>
      <c r="P3439" s="4"/>
      <c r="Q3439" s="4"/>
      <c r="R3439" s="4"/>
      <c r="S3439" s="4"/>
      <c r="T3439" s="4"/>
      <c r="U3439" s="4"/>
      <c r="V3439" s="4"/>
      <c r="W3439" s="4"/>
      <c r="X3439" s="4"/>
      <c r="Y3439" s="4"/>
      <c r="Z3439" s="4"/>
      <c r="AA3439" s="4"/>
      <c r="AB3439" s="5"/>
    </row>
    <row r="3440" spans="1:28" x14ac:dyDescent="0.35">
      <c r="A3440" s="3"/>
      <c r="B3440" s="4"/>
      <c r="C3440" s="4"/>
      <c r="D3440" s="4"/>
      <c r="E3440" s="4"/>
      <c r="F3440" s="4"/>
      <c r="G3440" s="4"/>
      <c r="H3440" s="4"/>
      <c r="I3440" s="4"/>
      <c r="J3440" s="4"/>
      <c r="K3440" s="4"/>
      <c r="L3440" s="4"/>
      <c r="M3440" s="4"/>
      <c r="N3440" s="4"/>
      <c r="O3440" s="4"/>
      <c r="P3440" s="4"/>
      <c r="Q3440" s="4"/>
      <c r="R3440" s="4"/>
      <c r="S3440" s="4"/>
      <c r="T3440" s="4"/>
      <c r="U3440" s="4"/>
      <c r="V3440" s="4"/>
      <c r="W3440" s="4"/>
      <c r="X3440" s="4"/>
      <c r="Y3440" s="4"/>
      <c r="Z3440" s="4"/>
      <c r="AA3440" s="4"/>
      <c r="AB3440" s="5"/>
    </row>
    <row r="3441" spans="1:28" x14ac:dyDescent="0.35">
      <c r="A3441" s="3"/>
      <c r="B3441" s="4"/>
      <c r="C3441" s="4"/>
      <c r="D3441" s="4"/>
      <c r="E3441" s="4"/>
      <c r="F3441" s="4"/>
      <c r="G3441" s="4"/>
      <c r="H3441" s="4"/>
      <c r="I3441" s="4"/>
      <c r="J3441" s="4"/>
      <c r="K3441" s="4"/>
      <c r="L3441" s="4"/>
      <c r="M3441" s="4"/>
      <c r="N3441" s="4"/>
      <c r="O3441" s="4"/>
      <c r="P3441" s="4"/>
      <c r="Q3441" s="4"/>
      <c r="R3441" s="4"/>
      <c r="S3441" s="4"/>
      <c r="T3441" s="4"/>
      <c r="U3441" s="4"/>
      <c r="V3441" s="4"/>
      <c r="W3441" s="4"/>
      <c r="X3441" s="4"/>
      <c r="Y3441" s="4"/>
      <c r="Z3441" s="4"/>
      <c r="AA3441" s="4"/>
      <c r="AB3441" s="5"/>
    </row>
    <row r="3442" spans="1:28" x14ac:dyDescent="0.35">
      <c r="A3442" s="3"/>
      <c r="B3442" s="4"/>
      <c r="C3442" s="4"/>
      <c r="D3442" s="4"/>
      <c r="E3442" s="4"/>
      <c r="F3442" s="4"/>
      <c r="G3442" s="4"/>
      <c r="H3442" s="4"/>
      <c r="I3442" s="4"/>
      <c r="J3442" s="4"/>
      <c r="K3442" s="4"/>
      <c r="L3442" s="4"/>
      <c r="M3442" s="4"/>
      <c r="N3442" s="4"/>
      <c r="O3442" s="4"/>
      <c r="P3442" s="4"/>
      <c r="Q3442" s="4"/>
      <c r="R3442" s="4"/>
      <c r="S3442" s="4"/>
      <c r="T3442" s="4"/>
      <c r="U3442" s="4"/>
      <c r="V3442" s="4"/>
      <c r="W3442" s="4"/>
      <c r="X3442" s="4"/>
      <c r="Y3442" s="4"/>
      <c r="Z3442" s="4"/>
      <c r="AA3442" s="4"/>
      <c r="AB3442" s="5"/>
    </row>
    <row r="3443" spans="1:28" x14ac:dyDescent="0.35">
      <c r="A3443" s="3"/>
      <c r="B3443" s="4"/>
      <c r="C3443" s="4"/>
      <c r="D3443" s="4"/>
      <c r="E3443" s="4"/>
      <c r="F3443" s="4"/>
      <c r="G3443" s="4"/>
      <c r="H3443" s="4"/>
      <c r="I3443" s="4"/>
      <c r="J3443" s="4"/>
      <c r="K3443" s="4"/>
      <c r="L3443" s="4"/>
      <c r="M3443" s="4"/>
      <c r="N3443" s="4"/>
      <c r="O3443" s="4"/>
      <c r="P3443" s="4"/>
      <c r="Q3443" s="4"/>
      <c r="R3443" s="4"/>
      <c r="S3443" s="4"/>
      <c r="T3443" s="4"/>
      <c r="U3443" s="4"/>
      <c r="V3443" s="4"/>
      <c r="W3443" s="4"/>
      <c r="X3443" s="4"/>
      <c r="Y3443" s="4"/>
      <c r="Z3443" s="4"/>
      <c r="AA3443" s="4"/>
      <c r="AB3443" s="5"/>
    </row>
    <row r="3444" spans="1:28" x14ac:dyDescent="0.35">
      <c r="A3444" s="3"/>
      <c r="B3444" s="4"/>
      <c r="C3444" s="4"/>
      <c r="D3444" s="4"/>
      <c r="E3444" s="4"/>
      <c r="F3444" s="4"/>
      <c r="G3444" s="4"/>
      <c r="H3444" s="4"/>
      <c r="I3444" s="4"/>
      <c r="J3444" s="4"/>
      <c r="K3444" s="4"/>
      <c r="L3444" s="4"/>
      <c r="M3444" s="4"/>
      <c r="N3444" s="4"/>
      <c r="O3444" s="4"/>
      <c r="P3444" s="4"/>
      <c r="Q3444" s="4"/>
      <c r="R3444" s="4"/>
      <c r="S3444" s="4"/>
      <c r="T3444" s="4"/>
      <c r="U3444" s="4"/>
      <c r="V3444" s="4"/>
      <c r="W3444" s="4"/>
      <c r="X3444" s="4"/>
      <c r="Y3444" s="4"/>
      <c r="Z3444" s="4"/>
      <c r="AA3444" s="4"/>
      <c r="AB3444" s="5"/>
    </row>
    <row r="3445" spans="1:28" x14ac:dyDescent="0.35">
      <c r="A3445" s="3"/>
      <c r="B3445" s="4"/>
      <c r="C3445" s="4"/>
      <c r="D3445" s="4"/>
      <c r="E3445" s="4"/>
      <c r="F3445" s="4"/>
      <c r="G3445" s="4"/>
      <c r="H3445" s="4"/>
      <c r="I3445" s="4"/>
      <c r="J3445" s="4"/>
      <c r="K3445" s="4"/>
      <c r="L3445" s="4"/>
      <c r="M3445" s="4"/>
      <c r="N3445" s="4"/>
      <c r="O3445" s="4"/>
      <c r="P3445" s="4"/>
      <c r="Q3445" s="4"/>
      <c r="R3445" s="4"/>
      <c r="S3445" s="4"/>
      <c r="T3445" s="4"/>
      <c r="U3445" s="4"/>
      <c r="V3445" s="4"/>
      <c r="W3445" s="4"/>
      <c r="X3445" s="4"/>
      <c r="Y3445" s="4"/>
      <c r="Z3445" s="4"/>
      <c r="AA3445" s="4"/>
      <c r="AB3445" s="5"/>
    </row>
    <row r="3446" spans="1:28" x14ac:dyDescent="0.35">
      <c r="A3446" s="3"/>
      <c r="B3446" s="4"/>
      <c r="C3446" s="4"/>
      <c r="D3446" s="4"/>
      <c r="E3446" s="4"/>
      <c r="F3446" s="4"/>
      <c r="G3446" s="4"/>
      <c r="H3446" s="4"/>
      <c r="I3446" s="4"/>
      <c r="J3446" s="4"/>
      <c r="K3446" s="4"/>
      <c r="L3446" s="4"/>
      <c r="M3446" s="4"/>
      <c r="N3446" s="4"/>
      <c r="O3446" s="4"/>
      <c r="P3446" s="4"/>
      <c r="Q3446" s="4"/>
      <c r="R3446" s="4"/>
      <c r="S3446" s="4"/>
      <c r="T3446" s="4"/>
      <c r="U3446" s="4"/>
      <c r="V3446" s="4"/>
      <c r="W3446" s="4"/>
      <c r="X3446" s="4"/>
      <c r="Y3446" s="4"/>
      <c r="Z3446" s="4"/>
      <c r="AA3446" s="4"/>
      <c r="AB3446" s="5"/>
    </row>
    <row r="3447" spans="1:28" x14ac:dyDescent="0.35">
      <c r="A3447" s="3"/>
      <c r="B3447" s="4"/>
      <c r="C3447" s="4"/>
      <c r="D3447" s="4"/>
      <c r="E3447" s="4"/>
      <c r="F3447" s="4"/>
      <c r="G3447" s="4"/>
      <c r="H3447" s="4"/>
      <c r="I3447" s="4"/>
      <c r="J3447" s="4"/>
      <c r="K3447" s="4"/>
      <c r="L3447" s="4"/>
      <c r="M3447" s="4"/>
      <c r="N3447" s="4"/>
      <c r="O3447" s="4"/>
      <c r="P3447" s="4"/>
      <c r="Q3447" s="4"/>
      <c r="R3447" s="4"/>
      <c r="S3447" s="4"/>
      <c r="T3447" s="4"/>
      <c r="U3447" s="4"/>
      <c r="V3447" s="4"/>
      <c r="W3447" s="4"/>
      <c r="X3447" s="4"/>
      <c r="Y3447" s="4"/>
      <c r="Z3447" s="4"/>
      <c r="AA3447" s="4"/>
      <c r="AB3447" s="5"/>
    </row>
    <row r="3448" spans="1:28" x14ac:dyDescent="0.35">
      <c r="A3448" s="3"/>
      <c r="B3448" s="4"/>
      <c r="C3448" s="4"/>
      <c r="D3448" s="4"/>
      <c r="E3448" s="4"/>
      <c r="F3448" s="4"/>
      <c r="G3448" s="4"/>
      <c r="H3448" s="4"/>
      <c r="I3448" s="4"/>
      <c r="J3448" s="4"/>
      <c r="K3448" s="4"/>
      <c r="L3448" s="4"/>
      <c r="M3448" s="4"/>
      <c r="N3448" s="4"/>
      <c r="O3448" s="4"/>
      <c r="P3448" s="4"/>
      <c r="Q3448" s="4"/>
      <c r="R3448" s="4"/>
      <c r="S3448" s="4"/>
      <c r="T3448" s="4"/>
      <c r="U3448" s="4"/>
      <c r="V3448" s="4"/>
      <c r="W3448" s="4"/>
      <c r="X3448" s="4"/>
      <c r="Y3448" s="4"/>
      <c r="Z3448" s="4"/>
      <c r="AA3448" s="4"/>
      <c r="AB3448" s="5"/>
    </row>
    <row r="3449" spans="1:28" x14ac:dyDescent="0.35">
      <c r="A3449" s="3"/>
      <c r="B3449" s="4"/>
      <c r="C3449" s="4"/>
      <c r="D3449" s="4"/>
      <c r="E3449" s="4"/>
      <c r="F3449" s="4"/>
      <c r="G3449" s="4"/>
      <c r="H3449" s="4"/>
      <c r="I3449" s="4"/>
      <c r="J3449" s="4"/>
      <c r="K3449" s="4"/>
      <c r="L3449" s="4"/>
      <c r="M3449" s="4"/>
      <c r="N3449" s="4"/>
      <c r="O3449" s="4"/>
      <c r="P3449" s="4"/>
      <c r="Q3449" s="4"/>
      <c r="R3449" s="4"/>
      <c r="S3449" s="4"/>
      <c r="T3449" s="4"/>
      <c r="U3449" s="4"/>
      <c r="V3449" s="4"/>
      <c r="W3449" s="4"/>
      <c r="X3449" s="4"/>
      <c r="Y3449" s="4"/>
      <c r="Z3449" s="4"/>
      <c r="AA3449" s="4"/>
      <c r="AB3449" s="5"/>
    </row>
    <row r="3450" spans="1:28" x14ac:dyDescent="0.35">
      <c r="A3450" s="3"/>
      <c r="B3450" s="4"/>
      <c r="C3450" s="4"/>
      <c r="D3450" s="4"/>
      <c r="E3450" s="4"/>
      <c r="F3450" s="4"/>
      <c r="G3450" s="4"/>
      <c r="H3450" s="4"/>
      <c r="I3450" s="4"/>
      <c r="J3450" s="4"/>
      <c r="K3450" s="4"/>
      <c r="L3450" s="4"/>
      <c r="M3450" s="4"/>
      <c r="N3450" s="4"/>
      <c r="O3450" s="4"/>
      <c r="P3450" s="4"/>
      <c r="Q3450" s="4"/>
      <c r="R3450" s="4"/>
      <c r="S3450" s="4"/>
      <c r="T3450" s="4"/>
      <c r="U3450" s="4"/>
      <c r="V3450" s="4"/>
      <c r="W3450" s="4"/>
      <c r="X3450" s="4"/>
      <c r="Y3450" s="4"/>
      <c r="Z3450" s="4"/>
      <c r="AA3450" s="4"/>
      <c r="AB3450" s="5"/>
    </row>
    <row r="3451" spans="1:28" x14ac:dyDescent="0.35">
      <c r="A3451" s="3"/>
      <c r="B3451" s="4"/>
      <c r="C3451" s="4"/>
      <c r="D3451" s="4"/>
      <c r="E3451" s="4"/>
      <c r="F3451" s="4"/>
      <c r="G3451" s="4"/>
      <c r="H3451" s="4"/>
      <c r="I3451" s="4"/>
      <c r="J3451" s="4"/>
      <c r="K3451" s="4"/>
      <c r="L3451" s="4"/>
      <c r="M3451" s="4"/>
      <c r="N3451" s="4"/>
      <c r="O3451" s="4"/>
      <c r="P3451" s="4"/>
      <c r="Q3451" s="4"/>
      <c r="R3451" s="4"/>
      <c r="S3451" s="4"/>
      <c r="T3451" s="4"/>
      <c r="U3451" s="4"/>
      <c r="V3451" s="4"/>
      <c r="W3451" s="4"/>
      <c r="X3451" s="4"/>
      <c r="Y3451" s="4"/>
      <c r="Z3451" s="4"/>
      <c r="AA3451" s="4"/>
      <c r="AB3451" s="5"/>
    </row>
    <row r="3452" spans="1:28" x14ac:dyDescent="0.35">
      <c r="A3452" s="3"/>
      <c r="B3452" s="4"/>
      <c r="C3452" s="4"/>
      <c r="D3452" s="4"/>
      <c r="E3452" s="4"/>
      <c r="F3452" s="4"/>
      <c r="G3452" s="4"/>
      <c r="H3452" s="4"/>
      <c r="I3452" s="4"/>
      <c r="J3452" s="4"/>
      <c r="K3452" s="4"/>
      <c r="L3452" s="4"/>
      <c r="M3452" s="4"/>
      <c r="N3452" s="4"/>
      <c r="O3452" s="4"/>
      <c r="P3452" s="4"/>
      <c r="Q3452" s="4"/>
      <c r="R3452" s="4"/>
      <c r="S3452" s="4"/>
      <c r="T3452" s="4"/>
      <c r="U3452" s="4"/>
      <c r="V3452" s="4"/>
      <c r="W3452" s="4"/>
      <c r="X3452" s="4"/>
      <c r="Y3452" s="4"/>
      <c r="Z3452" s="4"/>
      <c r="AA3452" s="4"/>
      <c r="AB3452" s="5"/>
    </row>
    <row r="3453" spans="1:28" x14ac:dyDescent="0.35">
      <c r="A3453" s="3"/>
      <c r="B3453" s="4"/>
      <c r="C3453" s="4"/>
      <c r="D3453" s="4"/>
      <c r="E3453" s="4"/>
      <c r="F3453" s="4"/>
      <c r="G3453" s="4"/>
      <c r="H3453" s="4"/>
      <c r="I3453" s="4"/>
      <c r="J3453" s="4"/>
      <c r="K3453" s="4"/>
      <c r="L3453" s="4"/>
      <c r="M3453" s="4"/>
      <c r="N3453" s="4"/>
      <c r="O3453" s="4"/>
      <c r="P3453" s="4"/>
      <c r="Q3453" s="4"/>
      <c r="R3453" s="4"/>
      <c r="S3453" s="4"/>
      <c r="T3453" s="4"/>
      <c r="U3453" s="4"/>
      <c r="V3453" s="4"/>
      <c r="W3453" s="4"/>
      <c r="X3453" s="4"/>
      <c r="Y3453" s="4"/>
      <c r="Z3453" s="4"/>
      <c r="AA3453" s="4"/>
      <c r="AB3453" s="5"/>
    </row>
    <row r="3454" spans="1:28" x14ac:dyDescent="0.35">
      <c r="A3454" s="3"/>
      <c r="B3454" s="4"/>
      <c r="C3454" s="4"/>
      <c r="D3454" s="4"/>
      <c r="E3454" s="4"/>
      <c r="F3454" s="4"/>
      <c r="G3454" s="4"/>
      <c r="H3454" s="4"/>
      <c r="I3454" s="4"/>
      <c r="J3454" s="4"/>
      <c r="K3454" s="4"/>
      <c r="L3454" s="4"/>
      <c r="M3454" s="4"/>
      <c r="N3454" s="4"/>
      <c r="O3454" s="4"/>
      <c r="P3454" s="4"/>
      <c r="Q3454" s="4"/>
      <c r="R3454" s="4"/>
      <c r="S3454" s="4"/>
      <c r="T3454" s="4"/>
      <c r="U3454" s="4"/>
      <c r="V3454" s="4"/>
      <c r="W3454" s="4"/>
      <c r="X3454" s="4"/>
      <c r="Y3454" s="4"/>
      <c r="Z3454" s="4"/>
      <c r="AA3454" s="4"/>
      <c r="AB3454" s="5"/>
    </row>
    <row r="3455" spans="1:28" x14ac:dyDescent="0.35">
      <c r="A3455" s="3"/>
      <c r="B3455" s="4"/>
      <c r="C3455" s="4"/>
      <c r="D3455" s="4"/>
      <c r="E3455" s="4"/>
      <c r="F3455" s="4"/>
      <c r="G3455" s="4"/>
      <c r="H3455" s="4"/>
      <c r="I3455" s="4"/>
      <c r="J3455" s="4"/>
      <c r="K3455" s="4"/>
      <c r="L3455" s="4"/>
      <c r="M3455" s="4"/>
      <c r="N3455" s="4"/>
      <c r="O3455" s="4"/>
      <c r="P3455" s="4"/>
      <c r="Q3455" s="4"/>
      <c r="R3455" s="4"/>
      <c r="S3455" s="4"/>
      <c r="T3455" s="4"/>
      <c r="U3455" s="4"/>
      <c r="V3455" s="4"/>
      <c r="W3455" s="4"/>
      <c r="X3455" s="4"/>
      <c r="Y3455" s="4"/>
      <c r="Z3455" s="4"/>
      <c r="AA3455" s="4"/>
      <c r="AB3455" s="5"/>
    </row>
    <row r="3456" spans="1:28" x14ac:dyDescent="0.35">
      <c r="A3456" s="3"/>
      <c r="B3456" s="4"/>
      <c r="C3456" s="4"/>
      <c r="D3456" s="4"/>
      <c r="E3456" s="4"/>
      <c r="F3456" s="4"/>
      <c r="G3456" s="4"/>
      <c r="H3456" s="4"/>
      <c r="I3456" s="4"/>
      <c r="J3456" s="4"/>
      <c r="K3456" s="4"/>
      <c r="L3456" s="4"/>
      <c r="M3456" s="4"/>
      <c r="N3456" s="4"/>
      <c r="O3456" s="4"/>
      <c r="P3456" s="4"/>
      <c r="Q3456" s="4"/>
      <c r="R3456" s="4"/>
      <c r="S3456" s="4"/>
      <c r="T3456" s="4"/>
      <c r="U3456" s="4"/>
      <c r="V3456" s="4"/>
      <c r="W3456" s="4"/>
      <c r="X3456" s="4"/>
      <c r="Y3456" s="4"/>
      <c r="Z3456" s="4"/>
      <c r="AA3456" s="4"/>
      <c r="AB3456" s="5"/>
    </row>
    <row r="3457" spans="1:28" x14ac:dyDescent="0.35">
      <c r="A3457" s="3"/>
      <c r="B3457" s="4"/>
      <c r="C3457" s="4"/>
      <c r="D3457" s="4"/>
      <c r="E3457" s="4"/>
      <c r="F3457" s="4"/>
      <c r="G3457" s="4"/>
      <c r="H3457" s="4"/>
      <c r="I3457" s="4"/>
      <c r="J3457" s="4"/>
      <c r="K3457" s="4"/>
      <c r="L3457" s="4"/>
      <c r="M3457" s="4"/>
      <c r="N3457" s="4"/>
      <c r="O3457" s="4"/>
      <c r="P3457" s="4"/>
      <c r="Q3457" s="4"/>
      <c r="R3457" s="4"/>
      <c r="S3457" s="4"/>
      <c r="T3457" s="4"/>
      <c r="U3457" s="4"/>
      <c r="V3457" s="4"/>
      <c r="W3457" s="4"/>
      <c r="X3457" s="4"/>
      <c r="Y3457" s="4"/>
      <c r="Z3457" s="4"/>
      <c r="AA3457" s="4"/>
      <c r="AB3457" s="5"/>
    </row>
    <row r="3458" spans="1:28" x14ac:dyDescent="0.35">
      <c r="A3458" s="3"/>
      <c r="B3458" s="4"/>
      <c r="C3458" s="4"/>
      <c r="D3458" s="4"/>
      <c r="E3458" s="4"/>
      <c r="F3458" s="4"/>
      <c r="G3458" s="4"/>
      <c r="H3458" s="4"/>
      <c r="I3458" s="4"/>
      <c r="J3458" s="4"/>
      <c r="K3458" s="4"/>
      <c r="L3458" s="4"/>
      <c r="M3458" s="4"/>
      <c r="N3458" s="4"/>
      <c r="O3458" s="4"/>
      <c r="P3458" s="4"/>
      <c r="Q3458" s="4"/>
      <c r="R3458" s="4"/>
      <c r="S3458" s="4"/>
      <c r="T3458" s="4"/>
      <c r="U3458" s="4"/>
      <c r="V3458" s="4"/>
      <c r="W3458" s="4"/>
      <c r="X3458" s="4"/>
      <c r="Y3458" s="4"/>
      <c r="Z3458" s="4"/>
      <c r="AA3458" s="4"/>
      <c r="AB3458" s="5"/>
    </row>
    <row r="3459" spans="1:28" x14ac:dyDescent="0.35">
      <c r="A3459" s="3"/>
      <c r="B3459" s="4"/>
      <c r="C3459" s="4"/>
      <c r="D3459" s="4"/>
      <c r="E3459" s="4"/>
      <c r="F3459" s="4"/>
      <c r="G3459" s="4"/>
      <c r="H3459" s="4"/>
      <c r="I3459" s="4"/>
      <c r="J3459" s="4"/>
      <c r="K3459" s="4"/>
      <c r="L3459" s="4"/>
      <c r="M3459" s="4"/>
      <c r="N3459" s="4"/>
      <c r="O3459" s="4"/>
      <c r="P3459" s="4"/>
      <c r="Q3459" s="4"/>
      <c r="R3459" s="4"/>
      <c r="S3459" s="4"/>
      <c r="T3459" s="4"/>
      <c r="U3459" s="4"/>
      <c r="V3459" s="4"/>
      <c r="W3459" s="4"/>
      <c r="X3459" s="4"/>
      <c r="Y3459" s="4"/>
      <c r="Z3459" s="4"/>
      <c r="AA3459" s="4"/>
      <c r="AB3459" s="5"/>
    </row>
    <row r="3460" spans="1:28" x14ac:dyDescent="0.35">
      <c r="A3460" s="3"/>
      <c r="B3460" s="4"/>
      <c r="C3460" s="4"/>
      <c r="D3460" s="4"/>
      <c r="E3460" s="4"/>
      <c r="F3460" s="4"/>
      <c r="G3460" s="4"/>
      <c r="H3460" s="4"/>
      <c r="I3460" s="4"/>
      <c r="J3460" s="4"/>
      <c r="K3460" s="4"/>
      <c r="L3460" s="4"/>
      <c r="M3460" s="4"/>
      <c r="N3460" s="4"/>
      <c r="O3460" s="4"/>
      <c r="P3460" s="4"/>
      <c r="Q3460" s="4"/>
      <c r="R3460" s="4"/>
      <c r="S3460" s="4"/>
      <c r="T3460" s="4"/>
      <c r="U3460" s="4"/>
      <c r="V3460" s="4"/>
      <c r="W3460" s="4"/>
      <c r="X3460" s="4"/>
      <c r="Y3460" s="4"/>
      <c r="Z3460" s="4"/>
      <c r="AA3460" s="4"/>
      <c r="AB3460" s="5"/>
    </row>
    <row r="3461" spans="1:28" x14ac:dyDescent="0.35">
      <c r="A3461" s="3"/>
      <c r="B3461" s="4"/>
      <c r="C3461" s="4"/>
      <c r="D3461" s="4"/>
      <c r="E3461" s="4"/>
      <c r="F3461" s="4"/>
      <c r="G3461" s="4"/>
      <c r="H3461" s="4"/>
      <c r="I3461" s="4"/>
      <c r="J3461" s="4"/>
      <c r="K3461" s="4"/>
      <c r="L3461" s="4"/>
      <c r="M3461" s="4"/>
      <c r="N3461" s="4"/>
      <c r="O3461" s="4"/>
      <c r="P3461" s="4"/>
      <c r="Q3461" s="4"/>
      <c r="R3461" s="4"/>
      <c r="S3461" s="4"/>
      <c r="T3461" s="4"/>
      <c r="U3461" s="4"/>
      <c r="V3461" s="4"/>
      <c r="W3461" s="4"/>
      <c r="X3461" s="4"/>
      <c r="Y3461" s="4"/>
      <c r="Z3461" s="4"/>
      <c r="AA3461" s="4"/>
      <c r="AB3461" s="5"/>
    </row>
    <row r="3462" spans="1:28" x14ac:dyDescent="0.35">
      <c r="A3462" s="3"/>
      <c r="B3462" s="4"/>
      <c r="C3462" s="4"/>
      <c r="D3462" s="4"/>
      <c r="E3462" s="4"/>
      <c r="F3462" s="4"/>
      <c r="G3462" s="4"/>
      <c r="H3462" s="4"/>
      <c r="I3462" s="4"/>
      <c r="J3462" s="4"/>
      <c r="K3462" s="4"/>
      <c r="L3462" s="4"/>
      <c r="M3462" s="4"/>
      <c r="N3462" s="4"/>
      <c r="O3462" s="4"/>
      <c r="P3462" s="4"/>
      <c r="Q3462" s="4"/>
      <c r="R3462" s="4"/>
      <c r="S3462" s="4"/>
      <c r="T3462" s="4"/>
      <c r="U3462" s="4"/>
      <c r="V3462" s="4"/>
      <c r="W3462" s="4"/>
      <c r="X3462" s="4"/>
      <c r="Y3462" s="4"/>
      <c r="Z3462" s="4"/>
      <c r="AA3462" s="4"/>
      <c r="AB3462" s="5"/>
    </row>
    <row r="3463" spans="1:28" x14ac:dyDescent="0.35">
      <c r="A3463" s="3"/>
      <c r="B3463" s="4"/>
      <c r="C3463" s="4"/>
      <c r="D3463" s="4"/>
      <c r="E3463" s="4"/>
      <c r="F3463" s="4"/>
      <c r="G3463" s="4"/>
      <c r="H3463" s="4"/>
      <c r="I3463" s="4"/>
      <c r="J3463" s="4"/>
      <c r="K3463" s="4"/>
      <c r="L3463" s="4"/>
      <c r="M3463" s="4"/>
      <c r="N3463" s="4"/>
      <c r="O3463" s="4"/>
      <c r="P3463" s="4"/>
      <c r="Q3463" s="4"/>
      <c r="R3463" s="4"/>
      <c r="S3463" s="4"/>
      <c r="T3463" s="4"/>
      <c r="U3463" s="4"/>
      <c r="V3463" s="4"/>
      <c r="W3463" s="4"/>
      <c r="X3463" s="4"/>
      <c r="Y3463" s="4"/>
      <c r="Z3463" s="4"/>
      <c r="AA3463" s="4"/>
      <c r="AB3463" s="5"/>
    </row>
    <row r="3464" spans="1:28" x14ac:dyDescent="0.35">
      <c r="A3464" s="3"/>
      <c r="B3464" s="4"/>
      <c r="C3464" s="4"/>
      <c r="D3464" s="4"/>
      <c r="E3464" s="4"/>
      <c r="F3464" s="4"/>
      <c r="G3464" s="4"/>
      <c r="H3464" s="4"/>
      <c r="I3464" s="4"/>
      <c r="J3464" s="4"/>
      <c r="K3464" s="4"/>
      <c r="L3464" s="4"/>
      <c r="M3464" s="4"/>
      <c r="N3464" s="4"/>
      <c r="O3464" s="4"/>
      <c r="P3464" s="4"/>
      <c r="Q3464" s="4"/>
      <c r="R3464" s="4"/>
      <c r="S3464" s="4"/>
      <c r="T3464" s="4"/>
      <c r="U3464" s="4"/>
      <c r="V3464" s="4"/>
      <c r="W3464" s="4"/>
      <c r="X3464" s="4"/>
      <c r="Y3464" s="4"/>
      <c r="Z3464" s="4"/>
      <c r="AA3464" s="4"/>
      <c r="AB3464" s="5"/>
    </row>
    <row r="3465" spans="1:28" x14ac:dyDescent="0.35">
      <c r="A3465" s="3"/>
      <c r="B3465" s="4"/>
      <c r="C3465" s="4"/>
      <c r="D3465" s="4"/>
      <c r="E3465" s="4"/>
      <c r="F3465" s="4"/>
      <c r="G3465" s="4"/>
      <c r="H3465" s="4"/>
      <c r="I3465" s="4"/>
      <c r="J3465" s="4"/>
      <c r="K3465" s="4"/>
      <c r="L3465" s="4"/>
      <c r="M3465" s="4"/>
      <c r="N3465" s="4"/>
      <c r="O3465" s="4"/>
      <c r="P3465" s="4"/>
      <c r="Q3465" s="4"/>
      <c r="R3465" s="4"/>
      <c r="S3465" s="4"/>
      <c r="T3465" s="4"/>
      <c r="U3465" s="4"/>
      <c r="V3465" s="4"/>
      <c r="W3465" s="4"/>
      <c r="X3465" s="4"/>
      <c r="Y3465" s="4"/>
      <c r="Z3465" s="4"/>
      <c r="AA3465" s="4"/>
      <c r="AB3465" s="5"/>
    </row>
    <row r="3466" spans="1:28" x14ac:dyDescent="0.35">
      <c r="A3466" s="3"/>
      <c r="B3466" s="4"/>
      <c r="C3466" s="4"/>
      <c r="D3466" s="4"/>
      <c r="E3466" s="4"/>
      <c r="F3466" s="4"/>
      <c r="G3466" s="4"/>
      <c r="H3466" s="4"/>
      <c r="I3466" s="4"/>
      <c r="J3466" s="4"/>
      <c r="K3466" s="4"/>
      <c r="L3466" s="4"/>
      <c r="M3466" s="4"/>
      <c r="N3466" s="4"/>
      <c r="O3466" s="4"/>
      <c r="P3466" s="4"/>
      <c r="Q3466" s="4"/>
      <c r="R3466" s="4"/>
      <c r="S3466" s="4"/>
      <c r="T3466" s="4"/>
      <c r="U3466" s="4"/>
      <c r="V3466" s="4"/>
      <c r="W3466" s="4"/>
      <c r="X3466" s="4"/>
      <c r="Y3466" s="4"/>
      <c r="Z3466" s="4"/>
      <c r="AA3466" s="4"/>
      <c r="AB3466" s="5"/>
    </row>
    <row r="3467" spans="1:28" x14ac:dyDescent="0.35">
      <c r="A3467" s="3"/>
      <c r="B3467" s="4"/>
      <c r="C3467" s="4"/>
      <c r="D3467" s="4"/>
      <c r="E3467" s="4"/>
      <c r="F3467" s="4"/>
      <c r="G3467" s="4"/>
      <c r="H3467" s="4"/>
      <c r="I3467" s="4"/>
      <c r="J3467" s="4"/>
      <c r="K3467" s="4"/>
      <c r="L3467" s="4"/>
      <c r="M3467" s="4"/>
      <c r="N3467" s="4"/>
      <c r="O3467" s="4"/>
      <c r="P3467" s="4"/>
      <c r="Q3467" s="4"/>
      <c r="R3467" s="4"/>
      <c r="S3467" s="4"/>
      <c r="T3467" s="4"/>
      <c r="U3467" s="4"/>
      <c r="V3467" s="4"/>
      <c r="W3467" s="4"/>
      <c r="X3467" s="4"/>
      <c r="Y3467" s="4"/>
      <c r="Z3467" s="4"/>
      <c r="AA3467" s="4"/>
      <c r="AB3467" s="5"/>
    </row>
    <row r="3468" spans="1:28" x14ac:dyDescent="0.35">
      <c r="A3468" s="3"/>
      <c r="B3468" s="4"/>
      <c r="C3468" s="4"/>
      <c r="D3468" s="4"/>
      <c r="E3468" s="4"/>
      <c r="F3468" s="4"/>
      <c r="G3468" s="4"/>
      <c r="H3468" s="4"/>
      <c r="I3468" s="4"/>
      <c r="J3468" s="4"/>
      <c r="K3468" s="4"/>
      <c r="L3468" s="4"/>
      <c r="M3468" s="4"/>
      <c r="N3468" s="4"/>
      <c r="O3468" s="4"/>
      <c r="P3468" s="4"/>
      <c r="Q3468" s="4"/>
      <c r="R3468" s="4"/>
      <c r="S3468" s="4"/>
      <c r="T3468" s="4"/>
      <c r="U3468" s="4"/>
      <c r="V3468" s="4"/>
      <c r="W3468" s="4"/>
      <c r="X3468" s="4"/>
      <c r="Y3468" s="4"/>
      <c r="Z3468" s="4"/>
      <c r="AA3468" s="4"/>
      <c r="AB3468" s="5"/>
    </row>
    <row r="3469" spans="1:28" x14ac:dyDescent="0.35">
      <c r="A3469" s="3"/>
      <c r="B3469" s="4"/>
      <c r="C3469" s="4"/>
      <c r="D3469" s="4"/>
      <c r="E3469" s="4"/>
      <c r="F3469" s="4"/>
      <c r="G3469" s="4"/>
      <c r="H3469" s="4"/>
      <c r="I3469" s="4"/>
      <c r="J3469" s="4"/>
      <c r="K3469" s="4"/>
      <c r="L3469" s="4"/>
      <c r="M3469" s="4"/>
      <c r="N3469" s="4"/>
      <c r="O3469" s="4"/>
      <c r="P3469" s="4"/>
      <c r="Q3469" s="4"/>
      <c r="R3469" s="4"/>
      <c r="S3469" s="4"/>
      <c r="T3469" s="4"/>
      <c r="U3469" s="4"/>
      <c r="V3469" s="4"/>
      <c r="W3469" s="4"/>
      <c r="X3469" s="4"/>
      <c r="Y3469" s="4"/>
      <c r="Z3469" s="4"/>
      <c r="AA3469" s="4"/>
      <c r="AB3469" s="5"/>
    </row>
    <row r="3470" spans="1:28" x14ac:dyDescent="0.35">
      <c r="A3470" s="3"/>
      <c r="B3470" s="4"/>
      <c r="C3470" s="4"/>
      <c r="D3470" s="4"/>
      <c r="E3470" s="4"/>
      <c r="F3470" s="4"/>
      <c r="G3470" s="4"/>
      <c r="H3470" s="4"/>
      <c r="I3470" s="4"/>
      <c r="J3470" s="4"/>
      <c r="K3470" s="4"/>
      <c r="L3470" s="4"/>
      <c r="M3470" s="4"/>
      <c r="N3470" s="4"/>
      <c r="O3470" s="4"/>
      <c r="P3470" s="4"/>
      <c r="Q3470" s="4"/>
      <c r="R3470" s="4"/>
      <c r="S3470" s="4"/>
      <c r="T3470" s="4"/>
      <c r="U3470" s="4"/>
      <c r="V3470" s="4"/>
      <c r="W3470" s="4"/>
      <c r="X3470" s="4"/>
      <c r="Y3470" s="4"/>
      <c r="Z3470" s="4"/>
      <c r="AA3470" s="4"/>
      <c r="AB3470" s="5"/>
    </row>
    <row r="3471" spans="1:28" x14ac:dyDescent="0.35">
      <c r="A3471" s="3"/>
      <c r="B3471" s="4"/>
      <c r="C3471" s="4"/>
      <c r="D3471" s="4"/>
      <c r="E3471" s="4"/>
      <c r="F3471" s="4"/>
      <c r="G3471" s="4"/>
      <c r="H3471" s="4"/>
      <c r="I3471" s="4"/>
      <c r="J3471" s="4"/>
      <c r="K3471" s="4"/>
      <c r="L3471" s="4"/>
      <c r="M3471" s="4"/>
      <c r="N3471" s="4"/>
      <c r="O3471" s="4"/>
      <c r="P3471" s="4"/>
      <c r="Q3471" s="4"/>
      <c r="R3471" s="4"/>
      <c r="S3471" s="4"/>
      <c r="T3471" s="4"/>
      <c r="U3471" s="4"/>
      <c r="V3471" s="4"/>
      <c r="W3471" s="4"/>
      <c r="X3471" s="4"/>
      <c r="Y3471" s="4"/>
      <c r="Z3471" s="4"/>
      <c r="AA3471" s="4"/>
      <c r="AB3471" s="5"/>
    </row>
    <row r="3472" spans="1:28" x14ac:dyDescent="0.35">
      <c r="A3472" s="3"/>
      <c r="B3472" s="4"/>
      <c r="C3472" s="4"/>
      <c r="D3472" s="4"/>
      <c r="E3472" s="4"/>
      <c r="F3472" s="4"/>
      <c r="G3472" s="4"/>
      <c r="H3472" s="4"/>
      <c r="I3472" s="4"/>
      <c r="J3472" s="4"/>
      <c r="K3472" s="4"/>
      <c r="L3472" s="4"/>
      <c r="M3472" s="4"/>
      <c r="N3472" s="4"/>
      <c r="O3472" s="4"/>
      <c r="P3472" s="4"/>
      <c r="Q3472" s="4"/>
      <c r="R3472" s="4"/>
      <c r="S3472" s="4"/>
      <c r="T3472" s="4"/>
      <c r="U3472" s="4"/>
      <c r="V3472" s="4"/>
      <c r="W3472" s="4"/>
      <c r="X3472" s="4"/>
      <c r="Y3472" s="4"/>
      <c r="Z3472" s="4"/>
      <c r="AA3472" s="4"/>
      <c r="AB3472" s="5"/>
    </row>
    <row r="3473" spans="1:28" x14ac:dyDescent="0.35">
      <c r="A3473" s="3"/>
      <c r="B3473" s="4"/>
      <c r="C3473" s="4"/>
      <c r="D3473" s="4"/>
      <c r="E3473" s="4"/>
      <c r="F3473" s="4"/>
      <c r="G3473" s="4"/>
      <c r="H3473" s="4"/>
      <c r="I3473" s="4"/>
      <c r="J3473" s="4"/>
      <c r="K3473" s="4"/>
      <c r="L3473" s="4"/>
      <c r="M3473" s="4"/>
      <c r="N3473" s="4"/>
      <c r="O3473" s="4"/>
      <c r="P3473" s="4"/>
      <c r="Q3473" s="4"/>
      <c r="R3473" s="4"/>
      <c r="S3473" s="4"/>
      <c r="T3473" s="4"/>
      <c r="U3473" s="4"/>
      <c r="V3473" s="4"/>
      <c r="W3473" s="4"/>
      <c r="X3473" s="4"/>
      <c r="Y3473" s="4"/>
      <c r="Z3473" s="4"/>
      <c r="AA3473" s="4"/>
      <c r="AB3473" s="5"/>
    </row>
    <row r="3474" spans="1:28" x14ac:dyDescent="0.35">
      <c r="A3474" s="3"/>
      <c r="B3474" s="4"/>
      <c r="C3474" s="4"/>
      <c r="D3474" s="4"/>
      <c r="E3474" s="4"/>
      <c r="F3474" s="4"/>
      <c r="G3474" s="4"/>
      <c r="H3474" s="4"/>
      <c r="I3474" s="4"/>
      <c r="J3474" s="4"/>
      <c r="K3474" s="4"/>
      <c r="L3474" s="4"/>
      <c r="M3474" s="4"/>
      <c r="N3474" s="4"/>
      <c r="O3474" s="4"/>
      <c r="P3474" s="4"/>
      <c r="Q3474" s="4"/>
      <c r="R3474" s="4"/>
      <c r="S3474" s="4"/>
      <c r="T3474" s="4"/>
      <c r="U3474" s="4"/>
      <c r="V3474" s="4"/>
      <c r="W3474" s="4"/>
      <c r="X3474" s="4"/>
      <c r="Y3474" s="4"/>
      <c r="Z3474" s="4"/>
      <c r="AA3474" s="4"/>
      <c r="AB3474" s="5"/>
    </row>
    <row r="3475" spans="1:28" x14ac:dyDescent="0.35">
      <c r="A3475" s="3"/>
      <c r="B3475" s="4"/>
      <c r="C3475" s="4"/>
      <c r="D3475" s="4"/>
      <c r="E3475" s="4"/>
      <c r="F3475" s="4"/>
      <c r="G3475" s="4"/>
      <c r="H3475" s="4"/>
      <c r="I3475" s="4"/>
      <c r="J3475" s="4"/>
      <c r="K3475" s="4"/>
      <c r="L3475" s="4"/>
      <c r="M3475" s="4"/>
      <c r="N3475" s="4"/>
      <c r="O3475" s="4"/>
      <c r="P3475" s="4"/>
      <c r="Q3475" s="4"/>
      <c r="R3475" s="4"/>
      <c r="S3475" s="4"/>
      <c r="T3475" s="4"/>
      <c r="U3475" s="4"/>
      <c r="V3475" s="4"/>
      <c r="W3475" s="4"/>
      <c r="X3475" s="4"/>
      <c r="Y3475" s="4"/>
      <c r="Z3475" s="4"/>
      <c r="AA3475" s="4"/>
      <c r="AB3475" s="5"/>
    </row>
    <row r="3476" spans="1:28" x14ac:dyDescent="0.35">
      <c r="A3476" s="3"/>
      <c r="B3476" s="4"/>
      <c r="C3476" s="4"/>
      <c r="D3476" s="4"/>
      <c r="E3476" s="4"/>
      <c r="F3476" s="4"/>
      <c r="G3476" s="4"/>
      <c r="H3476" s="4"/>
      <c r="I3476" s="4"/>
      <c r="J3476" s="4"/>
      <c r="K3476" s="4"/>
      <c r="L3476" s="4"/>
      <c r="M3476" s="4"/>
      <c r="N3476" s="4"/>
      <c r="O3476" s="4"/>
      <c r="P3476" s="4"/>
      <c r="Q3476" s="4"/>
      <c r="R3476" s="4"/>
      <c r="S3476" s="4"/>
      <c r="T3476" s="4"/>
      <c r="U3476" s="4"/>
      <c r="V3476" s="4"/>
      <c r="W3476" s="4"/>
      <c r="X3476" s="4"/>
      <c r="Y3476" s="4"/>
      <c r="Z3476" s="4"/>
      <c r="AA3476" s="4"/>
      <c r="AB3476" s="5"/>
    </row>
    <row r="3477" spans="1:28" x14ac:dyDescent="0.35">
      <c r="A3477" s="3"/>
      <c r="B3477" s="4"/>
      <c r="C3477" s="4"/>
      <c r="D3477" s="4"/>
      <c r="E3477" s="4"/>
      <c r="F3477" s="4"/>
      <c r="G3477" s="4"/>
      <c r="H3477" s="4"/>
      <c r="I3477" s="4"/>
      <c r="J3477" s="4"/>
      <c r="K3477" s="4"/>
      <c r="L3477" s="4"/>
      <c r="M3477" s="4"/>
      <c r="N3477" s="4"/>
      <c r="O3477" s="4"/>
      <c r="P3477" s="4"/>
      <c r="Q3477" s="4"/>
      <c r="R3477" s="4"/>
      <c r="S3477" s="4"/>
      <c r="T3477" s="4"/>
      <c r="U3477" s="4"/>
      <c r="V3477" s="4"/>
      <c r="W3477" s="4"/>
      <c r="X3477" s="4"/>
      <c r="Y3477" s="4"/>
      <c r="Z3477" s="4"/>
      <c r="AA3477" s="4"/>
      <c r="AB3477" s="5"/>
    </row>
    <row r="3478" spans="1:28" x14ac:dyDescent="0.35">
      <c r="A3478" s="3"/>
      <c r="B3478" s="4"/>
      <c r="C3478" s="4"/>
      <c r="D3478" s="4"/>
      <c r="E3478" s="4"/>
      <c r="F3478" s="4"/>
      <c r="G3478" s="4"/>
      <c r="H3478" s="4"/>
      <c r="I3478" s="4"/>
      <c r="J3478" s="4"/>
      <c r="K3478" s="4"/>
      <c r="L3478" s="4"/>
      <c r="M3478" s="4"/>
      <c r="N3478" s="4"/>
      <c r="O3478" s="4"/>
      <c r="P3478" s="4"/>
      <c r="Q3478" s="4"/>
      <c r="R3478" s="4"/>
      <c r="S3478" s="4"/>
      <c r="T3478" s="4"/>
      <c r="U3478" s="4"/>
      <c r="V3478" s="4"/>
      <c r="W3478" s="4"/>
      <c r="X3478" s="4"/>
      <c r="Y3478" s="4"/>
      <c r="Z3478" s="4"/>
      <c r="AA3478" s="4"/>
      <c r="AB3478" s="5"/>
    </row>
    <row r="3479" spans="1:28" x14ac:dyDescent="0.35">
      <c r="A3479" s="3"/>
      <c r="B3479" s="4"/>
      <c r="C3479" s="4"/>
      <c r="D3479" s="4"/>
      <c r="E3479" s="4"/>
      <c r="F3479" s="4"/>
      <c r="G3479" s="4"/>
      <c r="H3479" s="4"/>
      <c r="I3479" s="4"/>
      <c r="J3479" s="4"/>
      <c r="K3479" s="4"/>
      <c r="L3479" s="4"/>
      <c r="M3479" s="4"/>
      <c r="N3479" s="4"/>
      <c r="O3479" s="4"/>
      <c r="P3479" s="4"/>
      <c r="Q3479" s="4"/>
      <c r="R3479" s="4"/>
      <c r="S3479" s="4"/>
      <c r="T3479" s="4"/>
      <c r="U3479" s="4"/>
      <c r="V3479" s="4"/>
      <c r="W3479" s="4"/>
      <c r="X3479" s="4"/>
      <c r="Y3479" s="4"/>
      <c r="Z3479" s="4"/>
      <c r="AA3479" s="4"/>
      <c r="AB3479" s="5"/>
    </row>
    <row r="3480" spans="1:28" x14ac:dyDescent="0.35">
      <c r="A3480" s="3"/>
      <c r="B3480" s="4"/>
      <c r="C3480" s="4"/>
      <c r="D3480" s="4"/>
      <c r="E3480" s="4"/>
      <c r="F3480" s="4"/>
      <c r="G3480" s="4"/>
      <c r="H3480" s="4"/>
      <c r="I3480" s="4"/>
      <c r="J3480" s="4"/>
      <c r="K3480" s="4"/>
      <c r="L3480" s="4"/>
      <c r="M3480" s="4"/>
      <c r="N3480" s="4"/>
      <c r="O3480" s="4"/>
      <c r="P3480" s="4"/>
      <c r="Q3480" s="4"/>
      <c r="R3480" s="4"/>
      <c r="S3480" s="4"/>
      <c r="T3480" s="4"/>
      <c r="U3480" s="4"/>
      <c r="V3480" s="4"/>
      <c r="W3480" s="4"/>
      <c r="X3480" s="4"/>
      <c r="Y3480" s="4"/>
      <c r="Z3480" s="4"/>
      <c r="AA3480" s="4"/>
      <c r="AB3480" s="5"/>
    </row>
    <row r="3481" spans="1:28" x14ac:dyDescent="0.35">
      <c r="A3481" s="3"/>
      <c r="B3481" s="4"/>
      <c r="C3481" s="4"/>
      <c r="D3481" s="4"/>
      <c r="E3481" s="4"/>
      <c r="F3481" s="4"/>
      <c r="G3481" s="4"/>
      <c r="H3481" s="4"/>
      <c r="I3481" s="4"/>
      <c r="J3481" s="4"/>
      <c r="K3481" s="4"/>
      <c r="L3481" s="4"/>
      <c r="M3481" s="4"/>
      <c r="N3481" s="4"/>
      <c r="O3481" s="4"/>
      <c r="P3481" s="4"/>
      <c r="Q3481" s="4"/>
      <c r="R3481" s="4"/>
      <c r="S3481" s="4"/>
      <c r="T3481" s="4"/>
      <c r="U3481" s="4"/>
      <c r="V3481" s="4"/>
      <c r="W3481" s="4"/>
      <c r="X3481" s="4"/>
      <c r="Y3481" s="4"/>
      <c r="Z3481" s="4"/>
      <c r="AA3481" s="4"/>
      <c r="AB3481" s="5"/>
    </row>
    <row r="3482" spans="1:28" x14ac:dyDescent="0.35">
      <c r="A3482" s="3"/>
      <c r="B3482" s="4"/>
      <c r="C3482" s="4"/>
      <c r="D3482" s="4"/>
      <c r="E3482" s="4"/>
      <c r="F3482" s="4"/>
      <c r="G3482" s="4"/>
      <c r="H3482" s="4"/>
      <c r="I3482" s="4"/>
      <c r="J3482" s="4"/>
      <c r="K3482" s="4"/>
      <c r="L3482" s="4"/>
      <c r="M3482" s="4"/>
      <c r="N3482" s="4"/>
      <c r="O3482" s="4"/>
      <c r="P3482" s="4"/>
      <c r="Q3482" s="4"/>
      <c r="R3482" s="4"/>
      <c r="S3482" s="4"/>
      <c r="T3482" s="4"/>
      <c r="U3482" s="4"/>
      <c r="V3482" s="4"/>
      <c r="W3482" s="4"/>
      <c r="X3482" s="4"/>
      <c r="Y3482" s="4"/>
      <c r="Z3482" s="4"/>
      <c r="AA3482" s="4"/>
      <c r="AB3482" s="5"/>
    </row>
    <row r="3483" spans="1:28" x14ac:dyDescent="0.35">
      <c r="A3483" s="3"/>
      <c r="B3483" s="4"/>
      <c r="C3483" s="4"/>
      <c r="D3483" s="4"/>
      <c r="E3483" s="4"/>
      <c r="F3483" s="4"/>
      <c r="G3483" s="4"/>
      <c r="H3483" s="4"/>
      <c r="I3483" s="4"/>
      <c r="J3483" s="4"/>
      <c r="K3483" s="4"/>
      <c r="L3483" s="4"/>
      <c r="M3483" s="4"/>
      <c r="N3483" s="4"/>
      <c r="O3483" s="4"/>
      <c r="P3483" s="4"/>
      <c r="Q3483" s="4"/>
      <c r="R3483" s="4"/>
      <c r="S3483" s="4"/>
      <c r="T3483" s="4"/>
      <c r="U3483" s="4"/>
      <c r="V3483" s="4"/>
      <c r="W3483" s="4"/>
      <c r="X3483" s="4"/>
      <c r="Y3483" s="4"/>
      <c r="Z3483" s="4"/>
      <c r="AA3483" s="4"/>
      <c r="AB3483" s="5"/>
    </row>
    <row r="3484" spans="1:28" x14ac:dyDescent="0.35">
      <c r="A3484" s="3"/>
      <c r="B3484" s="4"/>
      <c r="C3484" s="4"/>
      <c r="D3484" s="4"/>
      <c r="E3484" s="4"/>
      <c r="F3484" s="4"/>
      <c r="G3484" s="4"/>
      <c r="H3484" s="4"/>
      <c r="I3484" s="4"/>
      <c r="J3484" s="4"/>
      <c r="K3484" s="4"/>
      <c r="L3484" s="4"/>
      <c r="M3484" s="4"/>
      <c r="N3484" s="4"/>
      <c r="O3484" s="4"/>
      <c r="P3484" s="4"/>
      <c r="Q3484" s="4"/>
      <c r="R3484" s="4"/>
      <c r="S3484" s="4"/>
      <c r="T3484" s="4"/>
      <c r="U3484" s="4"/>
      <c r="V3484" s="4"/>
      <c r="W3484" s="4"/>
      <c r="X3484" s="4"/>
      <c r="Y3484" s="4"/>
      <c r="Z3484" s="4"/>
      <c r="AA3484" s="4"/>
      <c r="AB3484" s="5"/>
    </row>
    <row r="3485" spans="1:28" x14ac:dyDescent="0.35">
      <c r="A3485" s="3"/>
      <c r="B3485" s="4"/>
      <c r="C3485" s="4"/>
      <c r="D3485" s="4"/>
      <c r="E3485" s="4"/>
      <c r="F3485" s="4"/>
      <c r="G3485" s="4"/>
      <c r="H3485" s="4"/>
      <c r="I3485" s="4"/>
      <c r="J3485" s="4"/>
      <c r="K3485" s="4"/>
      <c r="L3485" s="4"/>
      <c r="M3485" s="4"/>
      <c r="N3485" s="4"/>
      <c r="O3485" s="4"/>
      <c r="P3485" s="4"/>
      <c r="Q3485" s="4"/>
      <c r="R3485" s="4"/>
      <c r="S3485" s="4"/>
      <c r="T3485" s="4"/>
      <c r="U3485" s="4"/>
      <c r="V3485" s="4"/>
      <c r="W3485" s="4"/>
      <c r="X3485" s="4"/>
      <c r="Y3485" s="4"/>
      <c r="Z3485" s="4"/>
      <c r="AA3485" s="4"/>
      <c r="AB3485" s="5"/>
    </row>
    <row r="3486" spans="1:28" x14ac:dyDescent="0.35">
      <c r="A3486" s="3"/>
      <c r="B3486" s="4"/>
      <c r="C3486" s="4"/>
      <c r="D3486" s="4"/>
      <c r="E3486" s="4"/>
      <c r="F3486" s="4"/>
      <c r="G3486" s="4"/>
      <c r="H3486" s="4"/>
      <c r="I3486" s="4"/>
      <c r="J3486" s="4"/>
      <c r="K3486" s="4"/>
      <c r="L3486" s="4"/>
      <c r="M3486" s="4"/>
      <c r="N3486" s="4"/>
      <c r="O3486" s="4"/>
      <c r="P3486" s="4"/>
      <c r="Q3486" s="4"/>
      <c r="R3486" s="4"/>
      <c r="S3486" s="4"/>
      <c r="T3486" s="4"/>
      <c r="U3486" s="4"/>
      <c r="V3486" s="4"/>
      <c r="W3486" s="4"/>
      <c r="X3486" s="4"/>
      <c r="Y3486" s="4"/>
      <c r="Z3486" s="4"/>
      <c r="AA3486" s="4"/>
      <c r="AB3486" s="5"/>
    </row>
    <row r="3487" spans="1:28" x14ac:dyDescent="0.35">
      <c r="A3487" s="3"/>
      <c r="B3487" s="4"/>
      <c r="C3487" s="4"/>
      <c r="D3487" s="4"/>
      <c r="E3487" s="4"/>
      <c r="F3487" s="4"/>
      <c r="G3487" s="4"/>
      <c r="H3487" s="4"/>
      <c r="I3487" s="4"/>
      <c r="J3487" s="4"/>
      <c r="K3487" s="4"/>
      <c r="L3487" s="4"/>
      <c r="M3487" s="4"/>
      <c r="N3487" s="4"/>
      <c r="O3487" s="4"/>
      <c r="P3487" s="4"/>
      <c r="Q3487" s="4"/>
      <c r="R3487" s="4"/>
      <c r="S3487" s="4"/>
      <c r="T3487" s="4"/>
      <c r="U3487" s="4"/>
      <c r="V3487" s="4"/>
      <c r="W3487" s="4"/>
      <c r="X3487" s="4"/>
      <c r="Y3487" s="4"/>
      <c r="Z3487" s="4"/>
      <c r="AA3487" s="4"/>
      <c r="AB3487" s="5"/>
    </row>
    <row r="3488" spans="1:28" x14ac:dyDescent="0.35">
      <c r="A3488" s="3"/>
      <c r="B3488" s="4"/>
      <c r="C3488" s="4"/>
      <c r="D3488" s="4"/>
      <c r="E3488" s="4"/>
      <c r="F3488" s="4"/>
      <c r="G3488" s="4"/>
      <c r="H3488" s="4"/>
      <c r="I3488" s="4"/>
      <c r="J3488" s="4"/>
      <c r="K3488" s="4"/>
      <c r="L3488" s="4"/>
      <c r="M3488" s="4"/>
      <c r="N3488" s="4"/>
      <c r="O3488" s="4"/>
      <c r="P3488" s="4"/>
      <c r="Q3488" s="4"/>
      <c r="R3488" s="4"/>
      <c r="S3488" s="4"/>
      <c r="T3488" s="4"/>
      <c r="U3488" s="4"/>
      <c r="V3488" s="4"/>
      <c r="W3488" s="4"/>
      <c r="X3488" s="4"/>
      <c r="Y3488" s="4"/>
      <c r="Z3488" s="4"/>
      <c r="AA3488" s="4"/>
      <c r="AB3488" s="5"/>
    </row>
    <row r="3489" spans="1:28" x14ac:dyDescent="0.35">
      <c r="A3489" s="3"/>
      <c r="B3489" s="4"/>
      <c r="C3489" s="4"/>
      <c r="D3489" s="4"/>
      <c r="E3489" s="4"/>
      <c r="F3489" s="4"/>
      <c r="G3489" s="4"/>
      <c r="H3489" s="4"/>
      <c r="I3489" s="4"/>
      <c r="J3489" s="4"/>
      <c r="K3489" s="4"/>
      <c r="L3489" s="4"/>
      <c r="M3489" s="4"/>
      <c r="N3489" s="4"/>
      <c r="O3489" s="4"/>
      <c r="P3489" s="4"/>
      <c r="Q3489" s="4"/>
      <c r="R3489" s="4"/>
      <c r="S3489" s="4"/>
      <c r="T3489" s="4"/>
      <c r="U3489" s="4"/>
      <c r="V3489" s="4"/>
      <c r="W3489" s="4"/>
      <c r="X3489" s="4"/>
      <c r="Y3489" s="4"/>
      <c r="Z3489" s="4"/>
      <c r="AA3489" s="4"/>
      <c r="AB3489" s="5"/>
    </row>
    <row r="3490" spans="1:28" x14ac:dyDescent="0.35">
      <c r="A3490" s="3"/>
      <c r="B3490" s="4"/>
      <c r="C3490" s="4"/>
      <c r="D3490" s="4"/>
      <c r="E3490" s="4"/>
      <c r="F3490" s="4"/>
      <c r="G3490" s="4"/>
      <c r="H3490" s="4"/>
      <c r="I3490" s="4"/>
      <c r="J3490" s="4"/>
      <c r="K3490" s="4"/>
      <c r="L3490" s="4"/>
      <c r="M3490" s="4"/>
      <c r="N3490" s="4"/>
      <c r="O3490" s="4"/>
      <c r="P3490" s="4"/>
      <c r="Q3490" s="4"/>
      <c r="R3490" s="4"/>
      <c r="S3490" s="4"/>
      <c r="T3490" s="4"/>
      <c r="U3490" s="4"/>
      <c r="V3490" s="4"/>
      <c r="W3490" s="4"/>
      <c r="X3490" s="4"/>
      <c r="Y3490" s="4"/>
      <c r="Z3490" s="4"/>
      <c r="AA3490" s="4"/>
      <c r="AB3490" s="5"/>
    </row>
    <row r="3491" spans="1:28" x14ac:dyDescent="0.35">
      <c r="A3491" s="3"/>
      <c r="B3491" s="4"/>
      <c r="C3491" s="4"/>
      <c r="D3491" s="4"/>
      <c r="E3491" s="4"/>
      <c r="F3491" s="4"/>
      <c r="G3491" s="4"/>
      <c r="H3491" s="4"/>
      <c r="I3491" s="4"/>
      <c r="J3491" s="4"/>
      <c r="K3491" s="4"/>
      <c r="L3491" s="4"/>
      <c r="M3491" s="4"/>
      <c r="N3491" s="4"/>
      <c r="O3491" s="4"/>
      <c r="P3491" s="4"/>
      <c r="Q3491" s="4"/>
      <c r="R3491" s="4"/>
      <c r="S3491" s="4"/>
      <c r="T3491" s="4"/>
      <c r="U3491" s="4"/>
      <c r="V3491" s="4"/>
      <c r="W3491" s="4"/>
      <c r="X3491" s="4"/>
      <c r="Y3491" s="4"/>
      <c r="Z3491" s="4"/>
      <c r="AA3491" s="4"/>
      <c r="AB3491" s="5"/>
    </row>
    <row r="3492" spans="1:28" x14ac:dyDescent="0.35">
      <c r="A3492" s="3"/>
      <c r="B3492" s="4"/>
      <c r="C3492" s="4"/>
      <c r="D3492" s="4"/>
      <c r="E3492" s="4"/>
      <c r="F3492" s="4"/>
      <c r="G3492" s="4"/>
      <c r="H3492" s="4"/>
      <c r="I3492" s="4"/>
      <c r="J3492" s="4"/>
      <c r="K3492" s="4"/>
      <c r="L3492" s="4"/>
      <c r="M3492" s="4"/>
      <c r="N3492" s="4"/>
      <c r="O3492" s="4"/>
      <c r="P3492" s="4"/>
      <c r="Q3492" s="4"/>
      <c r="R3492" s="4"/>
      <c r="S3492" s="4"/>
      <c r="T3492" s="4"/>
      <c r="U3492" s="4"/>
      <c r="V3492" s="4"/>
      <c r="W3492" s="4"/>
      <c r="X3492" s="4"/>
      <c r="Y3492" s="4"/>
      <c r="Z3492" s="4"/>
      <c r="AA3492" s="4"/>
      <c r="AB3492" s="5"/>
    </row>
    <row r="3493" spans="1:28" x14ac:dyDescent="0.35">
      <c r="A3493" s="3"/>
      <c r="B3493" s="4"/>
      <c r="C3493" s="4"/>
      <c r="D3493" s="4"/>
      <c r="E3493" s="4"/>
      <c r="F3493" s="4"/>
      <c r="G3493" s="4"/>
      <c r="H3493" s="4"/>
      <c r="I3493" s="4"/>
      <c r="J3493" s="4"/>
      <c r="K3493" s="4"/>
      <c r="L3493" s="4"/>
      <c r="M3493" s="4"/>
      <c r="N3493" s="4"/>
      <c r="O3493" s="4"/>
      <c r="P3493" s="4"/>
      <c r="Q3493" s="4"/>
      <c r="R3493" s="4"/>
      <c r="S3493" s="4"/>
      <c r="T3493" s="4"/>
      <c r="U3493" s="4"/>
      <c r="V3493" s="4"/>
      <c r="W3493" s="4"/>
      <c r="X3493" s="4"/>
      <c r="Y3493" s="4"/>
      <c r="Z3493" s="4"/>
      <c r="AA3493" s="4"/>
      <c r="AB3493" s="5"/>
    </row>
    <row r="3494" spans="1:28" x14ac:dyDescent="0.35">
      <c r="A3494" s="3"/>
      <c r="B3494" s="4"/>
      <c r="C3494" s="4"/>
      <c r="D3494" s="4"/>
      <c r="E3494" s="4"/>
      <c r="F3494" s="4"/>
      <c r="G3494" s="4"/>
      <c r="H3494" s="4"/>
      <c r="I3494" s="4"/>
      <c r="J3494" s="4"/>
      <c r="K3494" s="4"/>
      <c r="L3494" s="4"/>
      <c r="M3494" s="4"/>
      <c r="N3494" s="4"/>
      <c r="O3494" s="4"/>
      <c r="P3494" s="4"/>
      <c r="Q3494" s="4"/>
      <c r="R3494" s="4"/>
      <c r="S3494" s="4"/>
      <c r="T3494" s="4"/>
      <c r="U3494" s="4"/>
      <c r="V3494" s="4"/>
      <c r="W3494" s="4"/>
      <c r="X3494" s="4"/>
      <c r="Y3494" s="4"/>
      <c r="Z3494" s="4"/>
      <c r="AA3494" s="4"/>
      <c r="AB3494" s="5"/>
    </row>
    <row r="3495" spans="1:28" x14ac:dyDescent="0.35">
      <c r="A3495" s="3"/>
      <c r="B3495" s="4"/>
      <c r="C3495" s="4"/>
      <c r="D3495" s="4"/>
      <c r="E3495" s="4"/>
      <c r="F3495" s="4"/>
      <c r="G3495" s="4"/>
      <c r="H3495" s="4"/>
      <c r="I3495" s="4"/>
      <c r="J3495" s="4"/>
      <c r="K3495" s="4"/>
      <c r="L3495" s="4"/>
      <c r="M3495" s="4"/>
      <c r="N3495" s="4"/>
      <c r="O3495" s="4"/>
      <c r="P3495" s="4"/>
      <c r="Q3495" s="4"/>
      <c r="R3495" s="4"/>
      <c r="S3495" s="4"/>
      <c r="T3495" s="4"/>
      <c r="U3495" s="4"/>
      <c r="V3495" s="4"/>
      <c r="W3495" s="4"/>
      <c r="X3495" s="4"/>
      <c r="Y3495" s="4"/>
      <c r="Z3495" s="4"/>
      <c r="AA3495" s="4"/>
      <c r="AB3495" s="5"/>
    </row>
    <row r="3496" spans="1:28" x14ac:dyDescent="0.35">
      <c r="A3496" s="3"/>
      <c r="B3496" s="4"/>
      <c r="C3496" s="4"/>
      <c r="D3496" s="4"/>
      <c r="E3496" s="4"/>
      <c r="F3496" s="4"/>
      <c r="G3496" s="4"/>
      <c r="H3496" s="4"/>
      <c r="I3496" s="4"/>
      <c r="J3496" s="4"/>
      <c r="K3496" s="4"/>
      <c r="L3496" s="4"/>
      <c r="M3496" s="4"/>
      <c r="N3496" s="4"/>
      <c r="O3496" s="4"/>
      <c r="P3496" s="4"/>
      <c r="Q3496" s="4"/>
      <c r="R3496" s="4"/>
      <c r="S3496" s="4"/>
      <c r="T3496" s="4"/>
      <c r="U3496" s="4"/>
      <c r="V3496" s="4"/>
      <c r="W3496" s="4"/>
      <c r="X3496" s="4"/>
      <c r="Y3496" s="4"/>
      <c r="Z3496" s="4"/>
      <c r="AA3496" s="4"/>
      <c r="AB3496" s="5"/>
    </row>
    <row r="3497" spans="1:28" x14ac:dyDescent="0.35">
      <c r="A3497" s="3"/>
      <c r="B3497" s="4"/>
      <c r="C3497" s="4"/>
      <c r="D3497" s="4"/>
      <c r="E3497" s="4"/>
      <c r="F3497" s="4"/>
      <c r="G3497" s="4"/>
      <c r="H3497" s="4"/>
      <c r="I3497" s="4"/>
      <c r="J3497" s="4"/>
      <c r="K3497" s="4"/>
      <c r="L3497" s="4"/>
      <c r="M3497" s="4"/>
      <c r="N3497" s="4"/>
      <c r="O3497" s="4"/>
      <c r="P3497" s="4"/>
      <c r="Q3497" s="4"/>
      <c r="R3497" s="4"/>
      <c r="S3497" s="4"/>
      <c r="T3497" s="4"/>
      <c r="U3497" s="4"/>
      <c r="V3497" s="4"/>
      <c r="W3497" s="4"/>
      <c r="X3497" s="4"/>
      <c r="Y3497" s="4"/>
      <c r="Z3497" s="4"/>
      <c r="AA3497" s="4"/>
      <c r="AB3497" s="5"/>
    </row>
    <row r="3498" spans="1:28" x14ac:dyDescent="0.35">
      <c r="A3498" s="3"/>
      <c r="B3498" s="4"/>
      <c r="C3498" s="4"/>
      <c r="D3498" s="4"/>
      <c r="E3498" s="4"/>
      <c r="F3498" s="4"/>
      <c r="G3498" s="4"/>
      <c r="H3498" s="4"/>
      <c r="I3498" s="4"/>
      <c r="J3498" s="4"/>
      <c r="K3498" s="4"/>
      <c r="L3498" s="4"/>
      <c r="M3498" s="4"/>
      <c r="N3498" s="4"/>
      <c r="O3498" s="4"/>
      <c r="P3498" s="4"/>
      <c r="Q3498" s="4"/>
      <c r="R3498" s="4"/>
      <c r="S3498" s="4"/>
      <c r="T3498" s="4"/>
      <c r="U3498" s="4"/>
      <c r="V3498" s="4"/>
      <c r="W3498" s="4"/>
      <c r="X3498" s="4"/>
      <c r="Y3498" s="4"/>
      <c r="Z3498" s="4"/>
      <c r="AA3498" s="4"/>
      <c r="AB3498" s="5"/>
    </row>
    <row r="3499" spans="1:28" x14ac:dyDescent="0.35">
      <c r="A3499" s="3"/>
      <c r="B3499" s="4"/>
      <c r="C3499" s="4"/>
      <c r="D3499" s="4"/>
      <c r="E3499" s="4"/>
      <c r="F3499" s="4"/>
      <c r="G3499" s="4"/>
      <c r="H3499" s="4"/>
      <c r="I3499" s="4"/>
      <c r="J3499" s="4"/>
      <c r="K3499" s="4"/>
      <c r="L3499" s="4"/>
      <c r="M3499" s="4"/>
      <c r="N3499" s="4"/>
      <c r="O3499" s="4"/>
      <c r="P3499" s="4"/>
      <c r="Q3499" s="4"/>
      <c r="R3499" s="4"/>
      <c r="S3499" s="4"/>
      <c r="T3499" s="4"/>
      <c r="U3499" s="4"/>
      <c r="V3499" s="4"/>
      <c r="W3499" s="4"/>
      <c r="X3499" s="4"/>
      <c r="Y3499" s="4"/>
      <c r="Z3499" s="4"/>
      <c r="AA3499" s="4"/>
      <c r="AB3499" s="5"/>
    </row>
    <row r="3500" spans="1:28" x14ac:dyDescent="0.35">
      <c r="A3500" s="3"/>
      <c r="B3500" s="4"/>
      <c r="C3500" s="4"/>
      <c r="D3500" s="4"/>
      <c r="E3500" s="4"/>
      <c r="F3500" s="4"/>
      <c r="G3500" s="4"/>
      <c r="H3500" s="4"/>
      <c r="I3500" s="4"/>
      <c r="J3500" s="4"/>
      <c r="K3500" s="4"/>
      <c r="L3500" s="4"/>
      <c r="M3500" s="4"/>
      <c r="N3500" s="4"/>
      <c r="O3500" s="4"/>
      <c r="P3500" s="4"/>
      <c r="Q3500" s="4"/>
      <c r="R3500" s="4"/>
      <c r="S3500" s="4"/>
      <c r="T3500" s="4"/>
      <c r="U3500" s="4"/>
      <c r="V3500" s="4"/>
      <c r="W3500" s="4"/>
      <c r="X3500" s="4"/>
      <c r="Y3500" s="4"/>
      <c r="Z3500" s="4"/>
      <c r="AA3500" s="4"/>
      <c r="AB3500" s="5"/>
    </row>
    <row r="3501" spans="1:28" x14ac:dyDescent="0.35">
      <c r="A3501" s="3"/>
      <c r="B3501" s="4"/>
      <c r="C3501" s="4"/>
      <c r="D3501" s="4"/>
      <c r="E3501" s="4"/>
      <c r="F3501" s="4"/>
      <c r="G3501" s="4"/>
      <c r="H3501" s="4"/>
      <c r="I3501" s="4"/>
      <c r="J3501" s="4"/>
      <c r="K3501" s="4"/>
      <c r="L3501" s="4"/>
      <c r="M3501" s="4"/>
      <c r="N3501" s="4"/>
      <c r="O3501" s="4"/>
      <c r="P3501" s="4"/>
      <c r="Q3501" s="4"/>
      <c r="R3501" s="4"/>
      <c r="S3501" s="4"/>
      <c r="T3501" s="4"/>
      <c r="U3501" s="4"/>
      <c r="V3501" s="4"/>
      <c r="W3501" s="4"/>
      <c r="X3501" s="4"/>
      <c r="Y3501" s="4"/>
      <c r="Z3501" s="4"/>
      <c r="AA3501" s="4"/>
      <c r="AB3501" s="5"/>
    </row>
    <row r="3502" spans="1:28" x14ac:dyDescent="0.35">
      <c r="A3502" s="3"/>
      <c r="B3502" s="4"/>
      <c r="C3502" s="4"/>
      <c r="D3502" s="4"/>
      <c r="E3502" s="4"/>
      <c r="F3502" s="4"/>
      <c r="G3502" s="4"/>
      <c r="H3502" s="4"/>
      <c r="I3502" s="4"/>
      <c r="J3502" s="4"/>
      <c r="K3502" s="4"/>
      <c r="L3502" s="4"/>
      <c r="M3502" s="4"/>
      <c r="N3502" s="4"/>
      <c r="O3502" s="4"/>
      <c r="P3502" s="4"/>
      <c r="Q3502" s="4"/>
      <c r="R3502" s="4"/>
      <c r="S3502" s="4"/>
      <c r="T3502" s="4"/>
      <c r="U3502" s="4"/>
      <c r="V3502" s="4"/>
      <c r="W3502" s="4"/>
      <c r="X3502" s="4"/>
      <c r="Y3502" s="4"/>
      <c r="Z3502" s="4"/>
      <c r="AA3502" s="4"/>
      <c r="AB3502" s="5"/>
    </row>
    <row r="3503" spans="1:28" x14ac:dyDescent="0.35">
      <c r="A3503" s="3"/>
      <c r="B3503" s="4"/>
      <c r="C3503" s="4"/>
      <c r="D3503" s="4"/>
      <c r="E3503" s="4"/>
      <c r="F3503" s="4"/>
      <c r="G3503" s="4"/>
      <c r="H3503" s="4"/>
      <c r="I3503" s="4"/>
      <c r="J3503" s="4"/>
      <c r="K3503" s="4"/>
      <c r="L3503" s="4"/>
      <c r="M3503" s="4"/>
      <c r="N3503" s="4"/>
      <c r="O3503" s="4"/>
      <c r="P3503" s="4"/>
      <c r="Q3503" s="4"/>
      <c r="R3503" s="4"/>
      <c r="S3503" s="4"/>
      <c r="T3503" s="4"/>
      <c r="U3503" s="4"/>
      <c r="V3503" s="4"/>
      <c r="W3503" s="4"/>
      <c r="X3503" s="4"/>
      <c r="Y3503" s="4"/>
      <c r="Z3503" s="4"/>
      <c r="AA3503" s="4"/>
      <c r="AB3503" s="5"/>
    </row>
    <row r="3504" spans="1:28" x14ac:dyDescent="0.35">
      <c r="A3504" s="3"/>
      <c r="B3504" s="4"/>
      <c r="C3504" s="4"/>
      <c r="D3504" s="4"/>
      <c r="E3504" s="4"/>
      <c r="F3504" s="4"/>
      <c r="G3504" s="4"/>
      <c r="H3504" s="4"/>
      <c r="I3504" s="4"/>
      <c r="J3504" s="4"/>
      <c r="K3504" s="4"/>
      <c r="L3504" s="4"/>
      <c r="M3504" s="4"/>
      <c r="N3504" s="4"/>
      <c r="O3504" s="4"/>
      <c r="P3504" s="4"/>
      <c r="Q3504" s="4"/>
      <c r="R3504" s="4"/>
      <c r="S3504" s="4"/>
      <c r="T3504" s="4"/>
      <c r="U3504" s="4"/>
      <c r="V3504" s="4"/>
      <c r="W3504" s="4"/>
      <c r="X3504" s="4"/>
      <c r="Y3504" s="4"/>
      <c r="Z3504" s="4"/>
      <c r="AA3504" s="4"/>
      <c r="AB3504" s="5"/>
    </row>
    <row r="3505" spans="1:28" x14ac:dyDescent="0.35">
      <c r="A3505" s="3"/>
      <c r="B3505" s="4"/>
      <c r="C3505" s="4"/>
      <c r="D3505" s="4"/>
      <c r="E3505" s="4"/>
      <c r="F3505" s="4"/>
      <c r="G3505" s="4"/>
      <c r="H3505" s="4"/>
      <c r="I3505" s="4"/>
      <c r="J3505" s="4"/>
      <c r="K3505" s="4"/>
      <c r="L3505" s="4"/>
      <c r="M3505" s="4"/>
      <c r="N3505" s="4"/>
      <c r="O3505" s="4"/>
      <c r="P3505" s="4"/>
      <c r="Q3505" s="4"/>
      <c r="R3505" s="4"/>
      <c r="S3505" s="4"/>
      <c r="T3505" s="4"/>
      <c r="U3505" s="4"/>
      <c r="V3505" s="4"/>
      <c r="W3505" s="4"/>
      <c r="X3505" s="4"/>
      <c r="Y3505" s="4"/>
      <c r="Z3505" s="4"/>
      <c r="AA3505" s="4"/>
      <c r="AB3505" s="5"/>
    </row>
    <row r="3506" spans="1:28" x14ac:dyDescent="0.35">
      <c r="A3506" s="3"/>
      <c r="B3506" s="4"/>
      <c r="C3506" s="4"/>
      <c r="D3506" s="4"/>
      <c r="E3506" s="4"/>
      <c r="F3506" s="4"/>
      <c r="G3506" s="4"/>
      <c r="H3506" s="4"/>
      <c r="I3506" s="4"/>
      <c r="J3506" s="4"/>
      <c r="K3506" s="4"/>
      <c r="L3506" s="4"/>
      <c r="M3506" s="4"/>
      <c r="N3506" s="4"/>
      <c r="O3506" s="4"/>
      <c r="P3506" s="4"/>
      <c r="Q3506" s="4"/>
      <c r="R3506" s="4"/>
      <c r="S3506" s="4"/>
      <c r="T3506" s="4"/>
      <c r="U3506" s="4"/>
      <c r="V3506" s="4"/>
      <c r="W3506" s="4"/>
      <c r="X3506" s="4"/>
      <c r="Y3506" s="4"/>
      <c r="Z3506" s="4"/>
      <c r="AA3506" s="4"/>
      <c r="AB3506" s="5"/>
    </row>
    <row r="3507" spans="1:28" x14ac:dyDescent="0.35">
      <c r="A3507" s="3"/>
      <c r="B3507" s="4"/>
      <c r="C3507" s="4"/>
      <c r="D3507" s="4"/>
      <c r="E3507" s="4"/>
      <c r="F3507" s="4"/>
      <c r="G3507" s="4"/>
      <c r="H3507" s="4"/>
      <c r="I3507" s="4"/>
      <c r="J3507" s="4"/>
      <c r="K3507" s="4"/>
      <c r="L3507" s="4"/>
      <c r="M3507" s="4"/>
      <c r="N3507" s="4"/>
      <c r="O3507" s="4"/>
      <c r="P3507" s="4"/>
      <c r="Q3507" s="4"/>
      <c r="R3507" s="4"/>
      <c r="S3507" s="4"/>
      <c r="T3507" s="4"/>
      <c r="U3507" s="4"/>
      <c r="V3507" s="4"/>
      <c r="W3507" s="4"/>
      <c r="X3507" s="4"/>
      <c r="Y3507" s="4"/>
      <c r="Z3507" s="4"/>
      <c r="AA3507" s="4"/>
      <c r="AB3507" s="5"/>
    </row>
    <row r="3508" spans="1:28" x14ac:dyDescent="0.35">
      <c r="A3508" s="3"/>
      <c r="B3508" s="4"/>
      <c r="C3508" s="4"/>
      <c r="D3508" s="4"/>
      <c r="E3508" s="4"/>
      <c r="F3508" s="4"/>
      <c r="G3508" s="4"/>
      <c r="H3508" s="4"/>
      <c r="I3508" s="4"/>
      <c r="J3508" s="4"/>
      <c r="K3508" s="4"/>
      <c r="L3508" s="4"/>
      <c r="M3508" s="4"/>
      <c r="N3508" s="4"/>
      <c r="O3508" s="4"/>
      <c r="P3508" s="4"/>
      <c r="Q3508" s="4"/>
      <c r="R3508" s="4"/>
      <c r="S3508" s="4"/>
      <c r="T3508" s="4"/>
      <c r="U3508" s="4"/>
      <c r="V3508" s="4"/>
      <c r="W3508" s="4"/>
      <c r="X3508" s="4"/>
      <c r="Y3508" s="4"/>
      <c r="Z3508" s="4"/>
      <c r="AA3508" s="4"/>
      <c r="AB3508" s="5"/>
    </row>
    <row r="3509" spans="1:28" x14ac:dyDescent="0.35">
      <c r="A3509" s="3"/>
      <c r="B3509" s="4"/>
      <c r="C3509" s="4"/>
      <c r="D3509" s="4"/>
      <c r="E3509" s="4"/>
      <c r="F3509" s="4"/>
      <c r="G3509" s="4"/>
      <c r="H3509" s="4"/>
      <c r="I3509" s="4"/>
      <c r="J3509" s="4"/>
      <c r="K3509" s="4"/>
      <c r="L3509" s="4"/>
      <c r="M3509" s="4"/>
      <c r="N3509" s="4"/>
      <c r="O3509" s="4"/>
      <c r="P3509" s="4"/>
      <c r="Q3509" s="4"/>
      <c r="R3509" s="4"/>
      <c r="S3509" s="4"/>
      <c r="T3509" s="4"/>
      <c r="U3509" s="4"/>
      <c r="V3509" s="4"/>
      <c r="W3509" s="4"/>
      <c r="X3509" s="4"/>
      <c r="Y3509" s="4"/>
      <c r="Z3509" s="4"/>
      <c r="AA3509" s="4"/>
      <c r="AB3509" s="5"/>
    </row>
    <row r="3510" spans="1:28" x14ac:dyDescent="0.35">
      <c r="A3510" s="3"/>
      <c r="B3510" s="4"/>
      <c r="C3510" s="4"/>
      <c r="D3510" s="4"/>
      <c r="E3510" s="4"/>
      <c r="F3510" s="4"/>
      <c r="G3510" s="4"/>
      <c r="H3510" s="4"/>
      <c r="I3510" s="4"/>
      <c r="J3510" s="4"/>
      <c r="K3510" s="4"/>
      <c r="L3510" s="4"/>
      <c r="M3510" s="4"/>
      <c r="N3510" s="4"/>
      <c r="O3510" s="4"/>
      <c r="P3510" s="4"/>
      <c r="Q3510" s="4"/>
      <c r="R3510" s="4"/>
      <c r="S3510" s="4"/>
      <c r="T3510" s="4"/>
      <c r="U3510" s="4"/>
      <c r="V3510" s="4"/>
      <c r="W3510" s="4"/>
      <c r="X3510" s="4"/>
      <c r="Y3510" s="4"/>
      <c r="Z3510" s="4"/>
      <c r="AA3510" s="4"/>
      <c r="AB3510" s="5"/>
    </row>
    <row r="3511" spans="1:28" x14ac:dyDescent="0.35">
      <c r="A3511" s="3"/>
      <c r="B3511" s="4"/>
      <c r="C3511" s="4"/>
      <c r="D3511" s="4"/>
      <c r="E3511" s="4"/>
      <c r="F3511" s="4"/>
      <c r="G3511" s="4"/>
      <c r="H3511" s="4"/>
      <c r="I3511" s="4"/>
      <c r="J3511" s="4"/>
      <c r="K3511" s="4"/>
      <c r="L3511" s="4"/>
      <c r="M3511" s="4"/>
      <c r="N3511" s="4"/>
      <c r="O3511" s="4"/>
      <c r="P3511" s="4"/>
      <c r="Q3511" s="4"/>
      <c r="R3511" s="4"/>
      <c r="S3511" s="4"/>
      <c r="T3511" s="4"/>
      <c r="U3511" s="4"/>
      <c r="V3511" s="4"/>
      <c r="W3511" s="4"/>
      <c r="X3511" s="4"/>
      <c r="Y3511" s="4"/>
      <c r="Z3511" s="4"/>
      <c r="AA3511" s="4"/>
      <c r="AB3511" s="5"/>
    </row>
    <row r="3512" spans="1:28" x14ac:dyDescent="0.35">
      <c r="A3512" s="3"/>
      <c r="B3512" s="4"/>
      <c r="C3512" s="4"/>
      <c r="D3512" s="4"/>
      <c r="E3512" s="4"/>
      <c r="F3512" s="4"/>
      <c r="G3512" s="4"/>
      <c r="H3512" s="4"/>
      <c r="I3512" s="4"/>
      <c r="J3512" s="4"/>
      <c r="K3512" s="4"/>
      <c r="L3512" s="4"/>
      <c r="M3512" s="4"/>
      <c r="N3512" s="4"/>
      <c r="O3512" s="4"/>
      <c r="P3512" s="4"/>
      <c r="Q3512" s="4"/>
      <c r="R3512" s="4"/>
      <c r="S3512" s="4"/>
      <c r="T3512" s="4"/>
      <c r="U3512" s="4"/>
      <c r="V3512" s="4"/>
      <c r="W3512" s="4"/>
      <c r="X3512" s="4"/>
      <c r="Y3512" s="4"/>
      <c r="Z3512" s="4"/>
      <c r="AA3512" s="4"/>
      <c r="AB3512" s="5"/>
    </row>
    <row r="3513" spans="1:28" x14ac:dyDescent="0.35">
      <c r="A3513" s="3"/>
      <c r="B3513" s="4"/>
      <c r="C3513" s="4"/>
      <c r="D3513" s="4"/>
      <c r="E3513" s="4"/>
      <c r="F3513" s="4"/>
      <c r="G3513" s="4"/>
      <c r="H3513" s="4"/>
      <c r="I3513" s="4"/>
      <c r="J3513" s="4"/>
      <c r="K3513" s="4"/>
      <c r="L3513" s="4"/>
      <c r="M3513" s="4"/>
      <c r="N3513" s="4"/>
      <c r="O3513" s="4"/>
      <c r="P3513" s="4"/>
      <c r="Q3513" s="4"/>
      <c r="R3513" s="4"/>
      <c r="S3513" s="4"/>
      <c r="T3513" s="4"/>
      <c r="U3513" s="4"/>
      <c r="V3513" s="4"/>
      <c r="W3513" s="4"/>
      <c r="X3513" s="4"/>
      <c r="Y3513" s="4"/>
      <c r="Z3513" s="4"/>
      <c r="AA3513" s="4"/>
      <c r="AB3513" s="5"/>
    </row>
    <row r="3514" spans="1:28" x14ac:dyDescent="0.35">
      <c r="A3514" s="3"/>
      <c r="B3514" s="4"/>
      <c r="C3514" s="4"/>
      <c r="D3514" s="4"/>
      <c r="E3514" s="4"/>
      <c r="F3514" s="4"/>
      <c r="G3514" s="4"/>
      <c r="H3514" s="4"/>
      <c r="I3514" s="4"/>
      <c r="J3514" s="4"/>
      <c r="K3514" s="4"/>
      <c r="L3514" s="4"/>
      <c r="M3514" s="4"/>
      <c r="N3514" s="4"/>
      <c r="O3514" s="4"/>
      <c r="P3514" s="4"/>
      <c r="Q3514" s="4"/>
      <c r="R3514" s="4"/>
      <c r="S3514" s="4"/>
      <c r="T3514" s="4"/>
      <c r="U3514" s="4"/>
      <c r="V3514" s="4"/>
      <c r="W3514" s="4"/>
      <c r="X3514" s="4"/>
      <c r="Y3514" s="4"/>
      <c r="Z3514" s="4"/>
      <c r="AA3514" s="4"/>
      <c r="AB3514" s="5"/>
    </row>
    <row r="3515" spans="1:28" x14ac:dyDescent="0.35">
      <c r="A3515" s="3"/>
      <c r="B3515" s="4"/>
      <c r="C3515" s="4"/>
      <c r="D3515" s="4"/>
      <c r="E3515" s="4"/>
      <c r="F3515" s="4"/>
      <c r="G3515" s="4"/>
      <c r="H3515" s="4"/>
      <c r="I3515" s="4"/>
      <c r="J3515" s="4"/>
      <c r="K3515" s="4"/>
      <c r="L3515" s="4"/>
      <c r="M3515" s="4"/>
      <c r="N3515" s="4"/>
      <c r="O3515" s="4"/>
      <c r="P3515" s="4"/>
      <c r="Q3515" s="4"/>
      <c r="R3515" s="4"/>
      <c r="S3515" s="4"/>
      <c r="T3515" s="4"/>
      <c r="U3515" s="4"/>
      <c r="V3515" s="4"/>
      <c r="W3515" s="4"/>
      <c r="X3515" s="4"/>
      <c r="Y3515" s="4"/>
      <c r="Z3515" s="4"/>
      <c r="AA3515" s="4"/>
      <c r="AB3515" s="5"/>
    </row>
    <row r="3516" spans="1:28" x14ac:dyDescent="0.35">
      <c r="A3516" s="3"/>
      <c r="B3516" s="4"/>
      <c r="C3516" s="4"/>
      <c r="D3516" s="4"/>
      <c r="E3516" s="4"/>
      <c r="F3516" s="4"/>
      <c r="G3516" s="4"/>
      <c r="H3516" s="4"/>
      <c r="I3516" s="4"/>
      <c r="J3516" s="4"/>
      <c r="K3516" s="4"/>
      <c r="L3516" s="4"/>
      <c r="M3516" s="4"/>
      <c r="N3516" s="4"/>
      <c r="O3516" s="4"/>
      <c r="P3516" s="4"/>
      <c r="Q3516" s="4"/>
      <c r="R3516" s="4"/>
      <c r="S3516" s="4"/>
      <c r="T3516" s="4"/>
      <c r="U3516" s="4"/>
      <c r="V3516" s="4"/>
      <c r="W3516" s="4"/>
      <c r="X3516" s="4"/>
      <c r="Y3516" s="4"/>
      <c r="Z3516" s="4"/>
      <c r="AA3516" s="4"/>
      <c r="AB3516" s="5"/>
    </row>
    <row r="3517" spans="1:28" x14ac:dyDescent="0.35">
      <c r="A3517" s="3"/>
      <c r="B3517" s="4"/>
      <c r="C3517" s="4"/>
      <c r="D3517" s="4"/>
      <c r="E3517" s="4"/>
      <c r="F3517" s="4"/>
      <c r="G3517" s="4"/>
      <c r="H3517" s="4"/>
      <c r="I3517" s="4"/>
      <c r="J3517" s="4"/>
      <c r="K3517" s="4"/>
      <c r="L3517" s="4"/>
      <c r="M3517" s="4"/>
      <c r="N3517" s="4"/>
      <c r="O3517" s="4"/>
      <c r="P3517" s="4"/>
      <c r="Q3517" s="4"/>
      <c r="R3517" s="4"/>
      <c r="S3517" s="4"/>
      <c r="T3517" s="4"/>
      <c r="U3517" s="4"/>
      <c r="V3517" s="4"/>
      <c r="W3517" s="4"/>
      <c r="X3517" s="4"/>
      <c r="Y3517" s="4"/>
      <c r="Z3517" s="4"/>
      <c r="AA3517" s="4"/>
      <c r="AB3517" s="5"/>
    </row>
    <row r="3518" spans="1:28" x14ac:dyDescent="0.35">
      <c r="A3518" s="3"/>
      <c r="B3518" s="4"/>
      <c r="C3518" s="4"/>
      <c r="D3518" s="4"/>
      <c r="E3518" s="4"/>
      <c r="F3518" s="4"/>
      <c r="G3518" s="4"/>
      <c r="H3518" s="4"/>
      <c r="I3518" s="4"/>
      <c r="J3518" s="4"/>
      <c r="K3518" s="4"/>
      <c r="L3518" s="4"/>
      <c r="M3518" s="4"/>
      <c r="N3518" s="4"/>
      <c r="O3518" s="4"/>
      <c r="P3518" s="4"/>
      <c r="Q3518" s="4"/>
      <c r="R3518" s="4"/>
      <c r="S3518" s="4"/>
      <c r="T3518" s="4"/>
      <c r="U3518" s="4"/>
      <c r="V3518" s="4"/>
      <c r="W3518" s="4"/>
      <c r="X3518" s="4"/>
      <c r="Y3518" s="4"/>
      <c r="Z3518" s="4"/>
      <c r="AA3518" s="4"/>
      <c r="AB3518" s="5"/>
    </row>
    <row r="3519" spans="1:28" x14ac:dyDescent="0.35">
      <c r="A3519" s="3"/>
      <c r="B3519" s="4"/>
      <c r="C3519" s="4"/>
      <c r="D3519" s="4"/>
      <c r="E3519" s="4"/>
      <c r="F3519" s="4"/>
      <c r="G3519" s="4"/>
      <c r="H3519" s="4"/>
      <c r="I3519" s="4"/>
      <c r="J3519" s="4"/>
      <c r="K3519" s="4"/>
      <c r="L3519" s="4"/>
      <c r="M3519" s="4"/>
      <c r="N3519" s="4"/>
      <c r="O3519" s="4"/>
      <c r="P3519" s="4"/>
      <c r="Q3519" s="4"/>
      <c r="R3519" s="4"/>
      <c r="S3519" s="4"/>
      <c r="T3519" s="4"/>
      <c r="U3519" s="4"/>
      <c r="V3519" s="4"/>
      <c r="W3519" s="4"/>
      <c r="X3519" s="4"/>
      <c r="Y3519" s="4"/>
      <c r="Z3519" s="4"/>
      <c r="AA3519" s="4"/>
      <c r="AB3519" s="5"/>
    </row>
    <row r="3520" spans="1:28" x14ac:dyDescent="0.35">
      <c r="A3520" s="3"/>
      <c r="B3520" s="4"/>
      <c r="C3520" s="4"/>
      <c r="D3520" s="4"/>
      <c r="E3520" s="4"/>
      <c r="F3520" s="4"/>
      <c r="G3520" s="4"/>
      <c r="H3520" s="4"/>
      <c r="I3520" s="4"/>
      <c r="J3520" s="4"/>
      <c r="K3520" s="4"/>
      <c r="L3520" s="4"/>
      <c r="M3520" s="4"/>
      <c r="N3520" s="4"/>
      <c r="O3520" s="4"/>
      <c r="P3520" s="4"/>
      <c r="Q3520" s="4"/>
      <c r="R3520" s="4"/>
      <c r="S3520" s="4"/>
      <c r="T3520" s="4"/>
      <c r="U3520" s="4"/>
      <c r="V3520" s="4"/>
      <c r="W3520" s="4"/>
      <c r="X3520" s="4"/>
      <c r="Y3520" s="4"/>
      <c r="Z3520" s="4"/>
      <c r="AA3520" s="4"/>
      <c r="AB3520" s="5"/>
    </row>
    <row r="3521" spans="1:28" x14ac:dyDescent="0.35">
      <c r="A3521" s="3"/>
      <c r="B3521" s="4"/>
      <c r="C3521" s="4"/>
      <c r="D3521" s="4"/>
      <c r="E3521" s="4"/>
      <c r="F3521" s="4"/>
      <c r="G3521" s="4"/>
      <c r="H3521" s="4"/>
      <c r="I3521" s="4"/>
      <c r="J3521" s="4"/>
      <c r="K3521" s="4"/>
      <c r="L3521" s="4"/>
      <c r="M3521" s="4"/>
      <c r="N3521" s="4"/>
      <c r="O3521" s="4"/>
      <c r="P3521" s="4"/>
      <c r="Q3521" s="4"/>
      <c r="R3521" s="4"/>
      <c r="S3521" s="4"/>
      <c r="T3521" s="4"/>
      <c r="U3521" s="4"/>
      <c r="V3521" s="4"/>
      <c r="W3521" s="4"/>
      <c r="X3521" s="4"/>
      <c r="Y3521" s="4"/>
      <c r="Z3521" s="4"/>
      <c r="AA3521" s="4"/>
      <c r="AB3521" s="5"/>
    </row>
    <row r="3522" spans="1:28" x14ac:dyDescent="0.35">
      <c r="A3522" s="3"/>
      <c r="B3522" s="4"/>
      <c r="C3522" s="4"/>
      <c r="D3522" s="4"/>
      <c r="E3522" s="4"/>
      <c r="F3522" s="4"/>
      <c r="G3522" s="4"/>
      <c r="H3522" s="4"/>
      <c r="I3522" s="4"/>
      <c r="J3522" s="4"/>
      <c r="K3522" s="4"/>
      <c r="L3522" s="4"/>
      <c r="M3522" s="4"/>
      <c r="N3522" s="4"/>
      <c r="O3522" s="4"/>
      <c r="P3522" s="4"/>
      <c r="Q3522" s="4"/>
      <c r="R3522" s="4"/>
      <c r="S3522" s="4"/>
      <c r="T3522" s="4"/>
      <c r="U3522" s="4"/>
      <c r="V3522" s="4"/>
      <c r="W3522" s="4"/>
      <c r="X3522" s="4"/>
      <c r="Y3522" s="4"/>
      <c r="Z3522" s="4"/>
      <c r="AA3522" s="4"/>
      <c r="AB3522" s="5"/>
    </row>
    <row r="3523" spans="1:28" x14ac:dyDescent="0.35">
      <c r="A3523" s="3"/>
      <c r="B3523" s="4"/>
      <c r="C3523" s="4"/>
      <c r="D3523" s="4"/>
      <c r="E3523" s="4"/>
      <c r="F3523" s="4"/>
      <c r="G3523" s="4"/>
      <c r="H3523" s="4"/>
      <c r="I3523" s="4"/>
      <c r="J3523" s="4"/>
      <c r="K3523" s="4"/>
      <c r="L3523" s="4"/>
      <c r="M3523" s="4"/>
      <c r="N3523" s="4"/>
      <c r="O3523" s="4"/>
      <c r="P3523" s="4"/>
      <c r="Q3523" s="4"/>
      <c r="R3523" s="4"/>
      <c r="S3523" s="4"/>
      <c r="T3523" s="4"/>
      <c r="U3523" s="4"/>
      <c r="V3523" s="4"/>
      <c r="W3523" s="4"/>
      <c r="X3523" s="4"/>
      <c r="Y3523" s="4"/>
      <c r="Z3523" s="4"/>
      <c r="AA3523" s="4"/>
      <c r="AB3523" s="5"/>
    </row>
    <row r="3524" spans="1:28" x14ac:dyDescent="0.35">
      <c r="A3524" s="3"/>
      <c r="B3524" s="4"/>
      <c r="C3524" s="4"/>
      <c r="D3524" s="4"/>
      <c r="E3524" s="4"/>
      <c r="F3524" s="4"/>
      <c r="G3524" s="4"/>
      <c r="H3524" s="4"/>
      <c r="I3524" s="4"/>
      <c r="J3524" s="4"/>
      <c r="K3524" s="4"/>
      <c r="L3524" s="4"/>
      <c r="M3524" s="4"/>
      <c r="N3524" s="4"/>
      <c r="O3524" s="4"/>
      <c r="P3524" s="4"/>
      <c r="Q3524" s="4"/>
      <c r="R3524" s="4"/>
      <c r="S3524" s="4"/>
      <c r="T3524" s="4"/>
      <c r="U3524" s="4"/>
      <c r="V3524" s="4"/>
      <c r="W3524" s="4"/>
      <c r="X3524" s="4"/>
      <c r="Y3524" s="4"/>
      <c r="Z3524" s="4"/>
      <c r="AA3524" s="4"/>
      <c r="AB3524" s="5"/>
    </row>
    <row r="3525" spans="1:28" x14ac:dyDescent="0.35">
      <c r="A3525" s="3"/>
      <c r="B3525" s="4"/>
      <c r="C3525" s="4"/>
      <c r="D3525" s="4"/>
      <c r="E3525" s="4"/>
      <c r="F3525" s="4"/>
      <c r="G3525" s="4"/>
      <c r="H3525" s="4"/>
      <c r="I3525" s="4"/>
      <c r="J3525" s="4"/>
      <c r="K3525" s="4"/>
      <c r="L3525" s="4"/>
      <c r="M3525" s="4"/>
      <c r="N3525" s="4"/>
      <c r="O3525" s="4"/>
      <c r="P3525" s="4"/>
      <c r="Q3525" s="4"/>
      <c r="R3525" s="4"/>
      <c r="S3525" s="4"/>
      <c r="T3525" s="4"/>
      <c r="U3525" s="4"/>
      <c r="V3525" s="4"/>
      <c r="W3525" s="4"/>
      <c r="X3525" s="4"/>
      <c r="Y3525" s="4"/>
      <c r="Z3525" s="4"/>
      <c r="AA3525" s="4"/>
      <c r="AB3525" s="5"/>
    </row>
    <row r="3526" spans="1:28" x14ac:dyDescent="0.35">
      <c r="A3526" s="3"/>
      <c r="B3526" s="4"/>
      <c r="C3526" s="4"/>
      <c r="D3526" s="4"/>
      <c r="E3526" s="4"/>
      <c r="F3526" s="4"/>
      <c r="G3526" s="4"/>
      <c r="H3526" s="4"/>
      <c r="I3526" s="4"/>
      <c r="J3526" s="4"/>
      <c r="K3526" s="4"/>
      <c r="L3526" s="4"/>
      <c r="M3526" s="4"/>
      <c r="N3526" s="4"/>
      <c r="O3526" s="4"/>
      <c r="P3526" s="4"/>
      <c r="Q3526" s="4"/>
      <c r="R3526" s="4"/>
      <c r="S3526" s="4"/>
      <c r="T3526" s="4"/>
      <c r="U3526" s="4"/>
      <c r="V3526" s="4"/>
      <c r="W3526" s="4"/>
      <c r="X3526" s="4"/>
      <c r="Y3526" s="4"/>
      <c r="Z3526" s="4"/>
      <c r="AA3526" s="4"/>
      <c r="AB3526" s="5"/>
    </row>
    <row r="3527" spans="1:28" x14ac:dyDescent="0.35">
      <c r="A3527" s="3"/>
      <c r="B3527" s="4"/>
      <c r="C3527" s="4"/>
      <c r="D3527" s="4"/>
      <c r="E3527" s="4"/>
      <c r="F3527" s="4"/>
      <c r="G3527" s="4"/>
      <c r="H3527" s="4"/>
      <c r="I3527" s="4"/>
      <c r="J3527" s="4"/>
      <c r="K3527" s="4"/>
      <c r="L3527" s="4"/>
      <c r="M3527" s="4"/>
      <c r="N3527" s="4"/>
      <c r="O3527" s="4"/>
      <c r="P3527" s="4"/>
      <c r="Q3527" s="4"/>
      <c r="R3527" s="4"/>
      <c r="S3527" s="4"/>
      <c r="T3527" s="4"/>
      <c r="U3527" s="4"/>
      <c r="V3527" s="4"/>
      <c r="W3527" s="4"/>
      <c r="X3527" s="4"/>
      <c r="Y3527" s="4"/>
      <c r="Z3527" s="4"/>
      <c r="AA3527" s="4"/>
      <c r="AB3527" s="5"/>
    </row>
    <row r="3528" spans="1:28" x14ac:dyDescent="0.35">
      <c r="A3528" s="3"/>
      <c r="B3528" s="4"/>
      <c r="C3528" s="4"/>
      <c r="D3528" s="4"/>
      <c r="E3528" s="4"/>
      <c r="F3528" s="4"/>
      <c r="G3528" s="4"/>
      <c r="H3528" s="4"/>
      <c r="I3528" s="4"/>
      <c r="J3528" s="4"/>
      <c r="K3528" s="4"/>
      <c r="L3528" s="4"/>
      <c r="M3528" s="4"/>
      <c r="N3528" s="4"/>
      <c r="O3528" s="4"/>
      <c r="P3528" s="4"/>
      <c r="Q3528" s="4"/>
      <c r="R3528" s="4"/>
      <c r="S3528" s="4"/>
      <c r="T3528" s="4"/>
      <c r="U3528" s="4"/>
      <c r="V3528" s="4"/>
      <c r="W3528" s="4"/>
      <c r="X3528" s="4"/>
      <c r="Y3528" s="4"/>
      <c r="Z3528" s="4"/>
      <c r="AA3528" s="4"/>
      <c r="AB3528" s="5"/>
    </row>
    <row r="3529" spans="1:28" x14ac:dyDescent="0.35">
      <c r="A3529" s="3"/>
      <c r="B3529" s="4"/>
      <c r="C3529" s="4"/>
      <c r="D3529" s="4"/>
      <c r="E3529" s="4"/>
      <c r="F3529" s="4"/>
      <c r="G3529" s="4"/>
      <c r="H3529" s="4"/>
      <c r="I3529" s="4"/>
      <c r="J3529" s="4"/>
      <c r="K3529" s="4"/>
      <c r="L3529" s="4"/>
      <c r="M3529" s="4"/>
      <c r="N3529" s="4"/>
      <c r="O3529" s="4"/>
      <c r="P3529" s="4"/>
      <c r="Q3529" s="4"/>
      <c r="R3529" s="4"/>
      <c r="S3529" s="4"/>
      <c r="T3529" s="4"/>
      <c r="U3529" s="4"/>
      <c r="V3529" s="4"/>
      <c r="W3529" s="4"/>
      <c r="X3529" s="4"/>
      <c r="Y3529" s="4"/>
      <c r="Z3529" s="4"/>
      <c r="AA3529" s="4"/>
      <c r="AB3529" s="5"/>
    </row>
    <row r="3530" spans="1:28" x14ac:dyDescent="0.35">
      <c r="A3530" s="3"/>
      <c r="B3530" s="4"/>
      <c r="C3530" s="4"/>
      <c r="D3530" s="4"/>
      <c r="E3530" s="4"/>
      <c r="F3530" s="4"/>
      <c r="G3530" s="4"/>
      <c r="H3530" s="4"/>
      <c r="I3530" s="4"/>
      <c r="J3530" s="4"/>
      <c r="K3530" s="4"/>
      <c r="L3530" s="4"/>
      <c r="M3530" s="4"/>
      <c r="N3530" s="4"/>
      <c r="O3530" s="4"/>
      <c r="P3530" s="4"/>
      <c r="Q3530" s="4"/>
      <c r="R3530" s="4"/>
      <c r="S3530" s="4"/>
      <c r="T3530" s="4"/>
      <c r="U3530" s="4"/>
      <c r="V3530" s="4"/>
      <c r="W3530" s="4"/>
      <c r="X3530" s="4"/>
      <c r="Y3530" s="4"/>
      <c r="Z3530" s="4"/>
      <c r="AA3530" s="4"/>
      <c r="AB3530" s="5"/>
    </row>
    <row r="3531" spans="1:28" x14ac:dyDescent="0.35">
      <c r="A3531" s="3"/>
      <c r="B3531" s="4"/>
      <c r="C3531" s="4"/>
      <c r="D3531" s="4"/>
      <c r="E3531" s="4"/>
      <c r="F3531" s="4"/>
      <c r="G3531" s="4"/>
      <c r="H3531" s="4"/>
      <c r="I3531" s="4"/>
      <c r="J3531" s="4"/>
      <c r="K3531" s="4"/>
      <c r="L3531" s="4"/>
      <c r="M3531" s="4"/>
      <c r="N3531" s="4"/>
      <c r="O3531" s="4"/>
      <c r="P3531" s="4"/>
      <c r="Q3531" s="4"/>
      <c r="R3531" s="4"/>
      <c r="S3531" s="4"/>
      <c r="T3531" s="4"/>
      <c r="U3531" s="4"/>
      <c r="V3531" s="4"/>
      <c r="W3531" s="4"/>
      <c r="X3531" s="4"/>
      <c r="Y3531" s="4"/>
      <c r="Z3531" s="4"/>
      <c r="AA3531" s="4"/>
      <c r="AB3531" s="5"/>
    </row>
    <row r="3532" spans="1:28" x14ac:dyDescent="0.35">
      <c r="A3532" s="3"/>
      <c r="B3532" s="4"/>
      <c r="C3532" s="4"/>
      <c r="D3532" s="4"/>
      <c r="E3532" s="4"/>
      <c r="F3532" s="4"/>
      <c r="G3532" s="4"/>
      <c r="H3532" s="4"/>
      <c r="I3532" s="4"/>
      <c r="J3532" s="4"/>
      <c r="K3532" s="4"/>
      <c r="L3532" s="4"/>
      <c r="M3532" s="4"/>
      <c r="N3532" s="4"/>
      <c r="O3532" s="4"/>
      <c r="P3532" s="4"/>
      <c r="Q3532" s="4"/>
      <c r="R3532" s="4"/>
      <c r="S3532" s="4"/>
      <c r="T3532" s="4"/>
      <c r="U3532" s="4"/>
      <c r="V3532" s="4"/>
      <c r="W3532" s="4"/>
      <c r="X3532" s="4"/>
      <c r="Y3532" s="4"/>
      <c r="Z3532" s="4"/>
      <c r="AA3532" s="4"/>
      <c r="AB3532" s="5"/>
    </row>
    <row r="3533" spans="1:28" x14ac:dyDescent="0.35">
      <c r="A3533" s="3"/>
      <c r="B3533" s="4"/>
      <c r="C3533" s="4"/>
      <c r="D3533" s="4"/>
      <c r="E3533" s="4"/>
      <c r="F3533" s="4"/>
      <c r="G3533" s="4"/>
      <c r="H3533" s="4"/>
      <c r="I3533" s="4"/>
      <c r="J3533" s="4"/>
      <c r="K3533" s="4"/>
      <c r="L3533" s="4"/>
      <c r="M3533" s="4"/>
      <c r="N3533" s="4"/>
      <c r="O3533" s="4"/>
      <c r="P3533" s="4"/>
      <c r="Q3533" s="4"/>
      <c r="R3533" s="4"/>
      <c r="S3533" s="4"/>
      <c r="T3533" s="4"/>
      <c r="U3533" s="4"/>
      <c r="V3533" s="4"/>
      <c r="W3533" s="4"/>
      <c r="X3533" s="4"/>
      <c r="Y3533" s="4"/>
      <c r="Z3533" s="4"/>
      <c r="AA3533" s="4"/>
      <c r="AB3533" s="5"/>
    </row>
    <row r="3534" spans="1:28" x14ac:dyDescent="0.35">
      <c r="A3534" s="3"/>
      <c r="B3534" s="4"/>
      <c r="C3534" s="4"/>
      <c r="D3534" s="4"/>
      <c r="E3534" s="4"/>
      <c r="F3534" s="4"/>
      <c r="G3534" s="4"/>
      <c r="H3534" s="4"/>
      <c r="I3534" s="4"/>
      <c r="J3534" s="4"/>
      <c r="K3534" s="4"/>
      <c r="L3534" s="4"/>
      <c r="M3534" s="4"/>
      <c r="N3534" s="4"/>
      <c r="O3534" s="4"/>
      <c r="P3534" s="4"/>
      <c r="Q3534" s="4"/>
      <c r="R3534" s="4"/>
      <c r="S3534" s="4"/>
      <c r="T3534" s="4"/>
      <c r="U3534" s="4"/>
      <c r="V3534" s="4"/>
      <c r="W3534" s="4"/>
      <c r="X3534" s="4"/>
      <c r="Y3534" s="4"/>
      <c r="Z3534" s="4"/>
      <c r="AA3534" s="4"/>
      <c r="AB3534" s="5"/>
    </row>
    <row r="3535" spans="1:28" x14ac:dyDescent="0.35">
      <c r="A3535" s="3"/>
      <c r="B3535" s="4"/>
      <c r="C3535" s="4"/>
      <c r="D3535" s="4"/>
      <c r="E3535" s="4"/>
      <c r="F3535" s="4"/>
      <c r="G3535" s="4"/>
      <c r="H3535" s="4"/>
      <c r="I3535" s="4"/>
      <c r="J3535" s="4"/>
      <c r="K3535" s="4"/>
      <c r="L3535" s="4"/>
      <c r="M3535" s="4"/>
      <c r="N3535" s="4"/>
      <c r="O3535" s="4"/>
      <c r="P3535" s="4"/>
      <c r="Q3535" s="4"/>
      <c r="R3535" s="4"/>
      <c r="S3535" s="4"/>
      <c r="T3535" s="4"/>
      <c r="U3535" s="4"/>
      <c r="V3535" s="4"/>
      <c r="W3535" s="4"/>
      <c r="X3535" s="4"/>
      <c r="Y3535" s="4"/>
      <c r="Z3535" s="4"/>
      <c r="AA3535" s="4"/>
      <c r="AB3535" s="5"/>
    </row>
    <row r="3536" spans="1:28" x14ac:dyDescent="0.35">
      <c r="A3536" s="3"/>
      <c r="B3536" s="4"/>
      <c r="C3536" s="4"/>
      <c r="D3536" s="4"/>
      <c r="E3536" s="4"/>
      <c r="F3536" s="4"/>
      <c r="G3536" s="4"/>
      <c r="H3536" s="4"/>
      <c r="I3536" s="4"/>
      <c r="J3536" s="4"/>
      <c r="K3536" s="4"/>
      <c r="L3536" s="4"/>
      <c r="M3536" s="4"/>
      <c r="N3536" s="4"/>
      <c r="O3536" s="4"/>
      <c r="P3536" s="4"/>
      <c r="Q3536" s="4"/>
      <c r="R3536" s="4"/>
      <c r="S3536" s="4"/>
      <c r="T3536" s="4"/>
      <c r="U3536" s="4"/>
      <c r="V3536" s="4"/>
      <c r="W3536" s="4"/>
      <c r="X3536" s="4"/>
      <c r="Y3536" s="4"/>
      <c r="Z3536" s="4"/>
      <c r="AA3536" s="4"/>
      <c r="AB3536" s="5"/>
    </row>
    <row r="3537" spans="1:28" x14ac:dyDescent="0.35">
      <c r="A3537" s="3"/>
      <c r="B3537" s="4"/>
      <c r="C3537" s="4"/>
      <c r="D3537" s="4"/>
      <c r="E3537" s="4"/>
      <c r="F3537" s="4"/>
      <c r="G3537" s="4"/>
      <c r="H3537" s="4"/>
      <c r="I3537" s="4"/>
      <c r="J3537" s="4"/>
      <c r="K3537" s="4"/>
      <c r="L3537" s="4"/>
      <c r="M3537" s="4"/>
      <c r="N3537" s="4"/>
      <c r="O3537" s="4"/>
      <c r="P3537" s="4"/>
      <c r="Q3537" s="4"/>
      <c r="R3537" s="4"/>
      <c r="S3537" s="4"/>
      <c r="T3537" s="4"/>
      <c r="U3537" s="4"/>
      <c r="V3537" s="4"/>
      <c r="W3537" s="4"/>
      <c r="X3537" s="4"/>
      <c r="Y3537" s="4"/>
      <c r="Z3537" s="4"/>
      <c r="AA3537" s="4"/>
      <c r="AB3537" s="5"/>
    </row>
    <row r="3538" spans="1:28" x14ac:dyDescent="0.35">
      <c r="A3538" s="3"/>
      <c r="B3538" s="4"/>
      <c r="C3538" s="4"/>
      <c r="D3538" s="4"/>
      <c r="E3538" s="4"/>
      <c r="F3538" s="4"/>
      <c r="G3538" s="4"/>
      <c r="H3538" s="4"/>
      <c r="I3538" s="4"/>
      <c r="J3538" s="4"/>
      <c r="K3538" s="4"/>
      <c r="L3538" s="4"/>
      <c r="M3538" s="4"/>
      <c r="N3538" s="4"/>
      <c r="O3538" s="4"/>
      <c r="P3538" s="4"/>
      <c r="Q3538" s="4"/>
      <c r="R3538" s="4"/>
      <c r="S3538" s="4"/>
      <c r="T3538" s="4"/>
      <c r="U3538" s="4"/>
      <c r="V3538" s="4"/>
      <c r="W3538" s="4"/>
      <c r="X3538" s="4"/>
      <c r="Y3538" s="4"/>
      <c r="Z3538" s="4"/>
      <c r="AA3538" s="4"/>
      <c r="AB3538" s="5"/>
    </row>
    <row r="3539" spans="1:28" x14ac:dyDescent="0.35">
      <c r="A3539" s="3"/>
      <c r="B3539" s="4"/>
      <c r="C3539" s="4"/>
      <c r="D3539" s="4"/>
      <c r="E3539" s="4"/>
      <c r="F3539" s="4"/>
      <c r="G3539" s="4"/>
      <c r="H3539" s="4"/>
      <c r="I3539" s="4"/>
      <c r="J3539" s="4"/>
      <c r="K3539" s="4"/>
      <c r="L3539" s="4"/>
      <c r="M3539" s="4"/>
      <c r="N3539" s="4"/>
      <c r="O3539" s="4"/>
      <c r="P3539" s="4"/>
      <c r="Q3539" s="4"/>
      <c r="R3539" s="4"/>
      <c r="S3539" s="4"/>
      <c r="T3539" s="4"/>
      <c r="U3539" s="4"/>
      <c r="V3539" s="4"/>
      <c r="W3539" s="4"/>
      <c r="X3539" s="4"/>
      <c r="Y3539" s="4"/>
      <c r="Z3539" s="4"/>
      <c r="AA3539" s="4"/>
      <c r="AB3539" s="5"/>
    </row>
    <row r="3540" spans="1:28" x14ac:dyDescent="0.35">
      <c r="A3540" s="3"/>
      <c r="B3540" s="4"/>
      <c r="C3540" s="4"/>
      <c r="D3540" s="4"/>
      <c r="E3540" s="4"/>
      <c r="F3540" s="4"/>
      <c r="G3540" s="4"/>
      <c r="H3540" s="4"/>
      <c r="I3540" s="4"/>
      <c r="J3540" s="4"/>
      <c r="K3540" s="4"/>
      <c r="L3540" s="4"/>
      <c r="M3540" s="4"/>
      <c r="N3540" s="4"/>
      <c r="O3540" s="4"/>
      <c r="P3540" s="4"/>
      <c r="Q3540" s="4"/>
      <c r="R3540" s="4"/>
      <c r="S3540" s="4"/>
      <c r="T3540" s="4"/>
      <c r="U3540" s="4"/>
      <c r="V3540" s="4"/>
      <c r="W3540" s="4"/>
      <c r="X3540" s="4"/>
      <c r="Y3540" s="4"/>
      <c r="Z3540" s="4"/>
      <c r="AA3540" s="4"/>
      <c r="AB3540" s="5"/>
    </row>
    <row r="3541" spans="1:28" x14ac:dyDescent="0.35">
      <c r="A3541" s="3"/>
      <c r="B3541" s="4"/>
      <c r="C3541" s="4"/>
      <c r="D3541" s="4"/>
      <c r="E3541" s="4"/>
      <c r="F3541" s="4"/>
      <c r="G3541" s="4"/>
      <c r="H3541" s="4"/>
      <c r="I3541" s="4"/>
      <c r="J3541" s="4"/>
      <c r="K3541" s="4"/>
      <c r="L3541" s="4"/>
      <c r="M3541" s="4"/>
      <c r="N3541" s="4"/>
      <c r="O3541" s="4"/>
      <c r="P3541" s="4"/>
      <c r="Q3541" s="4"/>
      <c r="R3541" s="4"/>
      <c r="S3541" s="4"/>
      <c r="T3541" s="4"/>
      <c r="U3541" s="4"/>
      <c r="V3541" s="4"/>
      <c r="W3541" s="4"/>
      <c r="X3541" s="4"/>
      <c r="Y3541" s="4"/>
      <c r="Z3541" s="4"/>
      <c r="AA3541" s="4"/>
      <c r="AB3541" s="5"/>
    </row>
    <row r="3542" spans="1:28" x14ac:dyDescent="0.35">
      <c r="A3542" s="3"/>
      <c r="B3542" s="4"/>
      <c r="C3542" s="4"/>
      <c r="D3542" s="4"/>
      <c r="E3542" s="4"/>
      <c r="F3542" s="4"/>
      <c r="G3542" s="4"/>
      <c r="H3542" s="4"/>
      <c r="I3542" s="4"/>
      <c r="J3542" s="4"/>
      <c r="K3542" s="4"/>
      <c r="L3542" s="4"/>
      <c r="M3542" s="4"/>
      <c r="N3542" s="4"/>
      <c r="O3542" s="4"/>
      <c r="P3542" s="4"/>
      <c r="Q3542" s="4"/>
      <c r="R3542" s="4"/>
      <c r="S3542" s="4"/>
      <c r="T3542" s="4"/>
      <c r="U3542" s="4"/>
      <c r="V3542" s="4"/>
      <c r="W3542" s="4"/>
      <c r="X3542" s="4"/>
      <c r="Y3542" s="4"/>
      <c r="Z3542" s="4"/>
      <c r="AA3542" s="4"/>
      <c r="AB3542" s="5"/>
    </row>
    <row r="3543" spans="1:28" x14ac:dyDescent="0.35">
      <c r="A3543" s="3"/>
      <c r="B3543" s="4"/>
      <c r="C3543" s="4"/>
      <c r="D3543" s="4"/>
      <c r="E3543" s="4"/>
      <c r="F3543" s="4"/>
      <c r="G3543" s="4"/>
      <c r="H3543" s="4"/>
      <c r="I3543" s="4"/>
      <c r="J3543" s="4"/>
      <c r="K3543" s="4"/>
      <c r="L3543" s="4"/>
      <c r="M3543" s="4"/>
      <c r="N3543" s="4"/>
      <c r="O3543" s="4"/>
      <c r="P3543" s="4"/>
      <c r="Q3543" s="4"/>
      <c r="R3543" s="4"/>
      <c r="S3543" s="4"/>
      <c r="T3543" s="4"/>
      <c r="U3543" s="4"/>
      <c r="V3543" s="4"/>
      <c r="W3543" s="4"/>
      <c r="X3543" s="4"/>
      <c r="Y3543" s="4"/>
      <c r="Z3543" s="4"/>
      <c r="AA3543" s="4"/>
      <c r="AB3543" s="5"/>
    </row>
    <row r="3544" spans="1:28" x14ac:dyDescent="0.35">
      <c r="A3544" s="3"/>
      <c r="B3544" s="4"/>
      <c r="C3544" s="4"/>
      <c r="D3544" s="4"/>
      <c r="E3544" s="4"/>
      <c r="F3544" s="4"/>
      <c r="G3544" s="4"/>
      <c r="H3544" s="4"/>
      <c r="I3544" s="4"/>
      <c r="J3544" s="4"/>
      <c r="K3544" s="4"/>
      <c r="L3544" s="4"/>
      <c r="M3544" s="4"/>
      <c r="N3544" s="4"/>
      <c r="O3544" s="4"/>
      <c r="P3544" s="4"/>
      <c r="Q3544" s="4"/>
      <c r="R3544" s="4"/>
      <c r="S3544" s="4"/>
      <c r="T3544" s="4"/>
      <c r="U3544" s="4"/>
      <c r="V3544" s="4"/>
      <c r="W3544" s="4"/>
      <c r="X3544" s="4"/>
      <c r="Y3544" s="4"/>
      <c r="Z3544" s="4"/>
      <c r="AA3544" s="4"/>
      <c r="AB3544" s="5"/>
    </row>
    <row r="3545" spans="1:28" x14ac:dyDescent="0.35">
      <c r="A3545" s="3"/>
      <c r="B3545" s="4"/>
      <c r="C3545" s="4"/>
      <c r="D3545" s="4"/>
      <c r="E3545" s="4"/>
      <c r="F3545" s="4"/>
      <c r="G3545" s="4"/>
      <c r="H3545" s="4"/>
      <c r="I3545" s="4"/>
      <c r="J3545" s="4"/>
      <c r="K3545" s="4"/>
      <c r="L3545" s="4"/>
      <c r="M3545" s="4"/>
      <c r="N3545" s="4"/>
      <c r="O3545" s="4"/>
      <c r="P3545" s="4"/>
      <c r="Q3545" s="4"/>
      <c r="R3545" s="4"/>
      <c r="S3545" s="4"/>
      <c r="T3545" s="4"/>
      <c r="U3545" s="4"/>
      <c r="V3545" s="4"/>
      <c r="W3545" s="4"/>
      <c r="X3545" s="4"/>
      <c r="Y3545" s="4"/>
      <c r="Z3545" s="4"/>
      <c r="AA3545" s="4"/>
      <c r="AB3545" s="5"/>
    </row>
    <row r="3546" spans="1:28" x14ac:dyDescent="0.35">
      <c r="A3546" s="3"/>
      <c r="B3546" s="4"/>
      <c r="C3546" s="4"/>
      <c r="D3546" s="4"/>
      <c r="E3546" s="4"/>
      <c r="F3546" s="4"/>
      <c r="G3546" s="4"/>
      <c r="H3546" s="4"/>
      <c r="I3546" s="4"/>
      <c r="J3546" s="4"/>
      <c r="K3546" s="4"/>
      <c r="L3546" s="4"/>
      <c r="M3546" s="4"/>
      <c r="N3546" s="4"/>
      <c r="O3546" s="4"/>
      <c r="P3546" s="4"/>
      <c r="Q3546" s="4"/>
      <c r="R3546" s="4"/>
      <c r="S3546" s="4"/>
      <c r="T3546" s="4"/>
      <c r="U3546" s="4"/>
      <c r="V3546" s="4"/>
      <c r="W3546" s="4"/>
      <c r="X3546" s="4"/>
      <c r="Y3546" s="4"/>
      <c r="Z3546" s="4"/>
      <c r="AA3546" s="4"/>
      <c r="AB3546" s="5"/>
    </row>
    <row r="3547" spans="1:28" x14ac:dyDescent="0.35">
      <c r="A3547" s="3"/>
      <c r="B3547" s="4"/>
      <c r="C3547" s="4"/>
      <c r="D3547" s="4"/>
      <c r="E3547" s="4"/>
      <c r="F3547" s="4"/>
      <c r="G3547" s="4"/>
      <c r="H3547" s="4"/>
      <c r="I3547" s="4"/>
      <c r="J3547" s="4"/>
      <c r="K3547" s="4"/>
      <c r="L3547" s="4"/>
      <c r="M3547" s="4"/>
      <c r="N3547" s="4"/>
      <c r="O3547" s="4"/>
      <c r="P3547" s="4"/>
      <c r="Q3547" s="4"/>
      <c r="R3547" s="4"/>
      <c r="S3547" s="4"/>
      <c r="T3547" s="4"/>
      <c r="U3547" s="4"/>
      <c r="V3547" s="4"/>
      <c r="W3547" s="4"/>
      <c r="X3547" s="4"/>
      <c r="Y3547" s="4"/>
      <c r="Z3547" s="4"/>
      <c r="AA3547" s="4"/>
      <c r="AB3547" s="5"/>
    </row>
    <row r="3548" spans="1:28" x14ac:dyDescent="0.35">
      <c r="A3548" s="3"/>
      <c r="B3548" s="4"/>
      <c r="C3548" s="4"/>
      <c r="D3548" s="4"/>
      <c r="E3548" s="4"/>
      <c r="F3548" s="4"/>
      <c r="G3548" s="4"/>
      <c r="H3548" s="4"/>
      <c r="I3548" s="4"/>
      <c r="J3548" s="4"/>
      <c r="K3548" s="4"/>
      <c r="L3548" s="4"/>
      <c r="M3548" s="4"/>
      <c r="N3548" s="4"/>
      <c r="O3548" s="4"/>
      <c r="P3548" s="4"/>
      <c r="Q3548" s="4"/>
      <c r="R3548" s="4"/>
      <c r="S3548" s="4"/>
      <c r="T3548" s="4"/>
      <c r="U3548" s="4"/>
      <c r="V3548" s="4"/>
      <c r="W3548" s="4"/>
      <c r="X3548" s="4"/>
      <c r="Y3548" s="4"/>
      <c r="Z3548" s="4"/>
      <c r="AA3548" s="4"/>
      <c r="AB3548" s="5"/>
    </row>
    <row r="3549" spans="1:28" x14ac:dyDescent="0.35">
      <c r="A3549" s="3"/>
      <c r="B3549" s="4"/>
      <c r="C3549" s="4"/>
      <c r="D3549" s="4"/>
      <c r="E3549" s="4"/>
      <c r="F3549" s="4"/>
      <c r="G3549" s="4"/>
      <c r="H3549" s="4"/>
      <c r="I3549" s="4"/>
      <c r="J3549" s="4"/>
      <c r="K3549" s="4"/>
      <c r="L3549" s="4"/>
      <c r="M3549" s="4"/>
      <c r="N3549" s="4"/>
      <c r="O3549" s="4"/>
      <c r="P3549" s="4"/>
      <c r="Q3549" s="4"/>
      <c r="R3549" s="4"/>
      <c r="S3549" s="4"/>
      <c r="T3549" s="4"/>
      <c r="U3549" s="4"/>
      <c r="V3549" s="4"/>
      <c r="W3549" s="4"/>
      <c r="X3549" s="4"/>
      <c r="Y3549" s="4"/>
      <c r="Z3549" s="4"/>
      <c r="AA3549" s="4"/>
      <c r="AB3549" s="5"/>
    </row>
    <row r="3550" spans="1:28" x14ac:dyDescent="0.35">
      <c r="A3550" s="3"/>
      <c r="B3550" s="4"/>
      <c r="C3550" s="4"/>
      <c r="D3550" s="4"/>
      <c r="E3550" s="4"/>
      <c r="F3550" s="4"/>
      <c r="G3550" s="4"/>
      <c r="H3550" s="4"/>
      <c r="I3550" s="4"/>
      <c r="J3550" s="4"/>
      <c r="K3550" s="4"/>
      <c r="L3550" s="4"/>
      <c r="M3550" s="4"/>
      <c r="N3550" s="4"/>
      <c r="O3550" s="4"/>
      <c r="P3550" s="4"/>
      <c r="Q3550" s="4"/>
      <c r="R3550" s="4"/>
      <c r="S3550" s="4"/>
      <c r="T3550" s="4"/>
      <c r="U3550" s="4"/>
      <c r="V3550" s="4"/>
      <c r="W3550" s="4"/>
      <c r="X3550" s="4"/>
      <c r="Y3550" s="4"/>
      <c r="Z3550" s="4"/>
      <c r="AA3550" s="4"/>
      <c r="AB3550" s="5"/>
    </row>
    <row r="3551" spans="1:28" x14ac:dyDescent="0.35">
      <c r="A3551" s="3"/>
      <c r="B3551" s="4"/>
      <c r="C3551" s="4"/>
      <c r="D3551" s="4"/>
      <c r="E3551" s="4"/>
      <c r="F3551" s="4"/>
      <c r="G3551" s="4"/>
      <c r="H3551" s="4"/>
      <c r="I3551" s="4"/>
      <c r="J3551" s="4"/>
      <c r="K3551" s="4"/>
      <c r="L3551" s="4"/>
      <c r="M3551" s="4"/>
      <c r="N3551" s="4"/>
      <c r="O3551" s="4"/>
      <c r="P3551" s="4"/>
      <c r="Q3551" s="4"/>
      <c r="R3551" s="4"/>
      <c r="S3551" s="4"/>
      <c r="T3551" s="4"/>
      <c r="U3551" s="4"/>
      <c r="V3551" s="4"/>
      <c r="W3551" s="4"/>
      <c r="X3551" s="4"/>
      <c r="Y3551" s="4"/>
      <c r="Z3551" s="4"/>
      <c r="AA3551" s="4"/>
      <c r="AB3551" s="5"/>
    </row>
    <row r="3552" spans="1:28" x14ac:dyDescent="0.35">
      <c r="A3552" s="3"/>
      <c r="B3552" s="4"/>
      <c r="C3552" s="4"/>
      <c r="D3552" s="4"/>
      <c r="E3552" s="4"/>
      <c r="F3552" s="4"/>
      <c r="G3552" s="4"/>
      <c r="H3552" s="4"/>
      <c r="I3552" s="4"/>
      <c r="J3552" s="4"/>
      <c r="K3552" s="4"/>
      <c r="L3552" s="4"/>
      <c r="M3552" s="4"/>
      <c r="N3552" s="4"/>
      <c r="O3552" s="4"/>
      <c r="P3552" s="4"/>
      <c r="Q3552" s="4"/>
      <c r="R3552" s="4"/>
      <c r="S3552" s="4"/>
      <c r="T3552" s="4"/>
      <c r="U3552" s="4"/>
      <c r="V3552" s="4"/>
      <c r="W3552" s="4"/>
      <c r="X3552" s="4"/>
      <c r="Y3552" s="4"/>
      <c r="Z3552" s="4"/>
      <c r="AA3552" s="4"/>
      <c r="AB3552" s="5"/>
    </row>
    <row r="3553" spans="1:28" x14ac:dyDescent="0.35">
      <c r="A3553" s="3"/>
      <c r="B3553" s="4"/>
      <c r="C3553" s="4"/>
      <c r="D3553" s="4"/>
      <c r="E3553" s="4"/>
      <c r="F3553" s="4"/>
      <c r="G3553" s="4"/>
      <c r="H3553" s="4"/>
      <c r="I3553" s="4"/>
      <c r="J3553" s="4"/>
      <c r="K3553" s="4"/>
      <c r="L3553" s="4"/>
      <c r="M3553" s="4"/>
      <c r="N3553" s="4"/>
      <c r="O3553" s="4"/>
      <c r="P3553" s="4"/>
      <c r="Q3553" s="4"/>
      <c r="R3553" s="4"/>
      <c r="S3553" s="4"/>
      <c r="T3553" s="4"/>
      <c r="U3553" s="4"/>
      <c r="V3553" s="4"/>
      <c r="W3553" s="4"/>
      <c r="X3553" s="4"/>
      <c r="Y3553" s="4"/>
      <c r="Z3553" s="4"/>
      <c r="AA3553" s="4"/>
      <c r="AB3553" s="5"/>
    </row>
    <row r="3554" spans="1:28" x14ac:dyDescent="0.35">
      <c r="A3554" s="3"/>
      <c r="B3554" s="4"/>
      <c r="C3554" s="4"/>
      <c r="D3554" s="4"/>
      <c r="E3554" s="4"/>
      <c r="F3554" s="4"/>
      <c r="G3554" s="4"/>
      <c r="H3554" s="4"/>
      <c r="I3554" s="4"/>
      <c r="J3554" s="4"/>
      <c r="K3554" s="4"/>
      <c r="L3554" s="4"/>
      <c r="M3554" s="4"/>
      <c r="N3554" s="4"/>
      <c r="O3554" s="4"/>
      <c r="P3554" s="4"/>
      <c r="Q3554" s="4"/>
      <c r="R3554" s="4"/>
      <c r="S3554" s="4"/>
      <c r="T3554" s="4"/>
      <c r="U3554" s="4"/>
      <c r="V3554" s="4"/>
      <c r="W3554" s="4"/>
      <c r="X3554" s="4"/>
      <c r="Y3554" s="4"/>
      <c r="Z3554" s="4"/>
      <c r="AA3554" s="4"/>
      <c r="AB3554" s="5"/>
    </row>
    <row r="3555" spans="1:28" x14ac:dyDescent="0.35">
      <c r="A3555" s="3"/>
      <c r="B3555" s="4"/>
      <c r="C3555" s="4"/>
      <c r="D3555" s="4"/>
      <c r="E3555" s="4"/>
      <c r="F3555" s="4"/>
      <c r="G3555" s="4"/>
      <c r="H3555" s="4"/>
      <c r="I3555" s="4"/>
      <c r="J3555" s="4"/>
      <c r="K3555" s="4"/>
      <c r="L3555" s="4"/>
      <c r="M3555" s="4"/>
      <c r="N3555" s="4"/>
      <c r="O3555" s="4"/>
      <c r="P3555" s="4"/>
      <c r="Q3555" s="4"/>
      <c r="R3555" s="4"/>
      <c r="S3555" s="4"/>
      <c r="T3555" s="4"/>
      <c r="U3555" s="4"/>
      <c r="V3555" s="4"/>
      <c r="W3555" s="4"/>
      <c r="X3555" s="4"/>
      <c r="Y3555" s="4"/>
      <c r="Z3555" s="4"/>
      <c r="AA3555" s="4"/>
      <c r="AB3555" s="5"/>
    </row>
    <row r="3556" spans="1:28" x14ac:dyDescent="0.35">
      <c r="A3556" s="3"/>
      <c r="B3556" s="4"/>
      <c r="C3556" s="4"/>
      <c r="D3556" s="4"/>
      <c r="E3556" s="4"/>
      <c r="F3556" s="4"/>
      <c r="G3556" s="4"/>
      <c r="H3556" s="4"/>
      <c r="I3556" s="4"/>
      <c r="J3556" s="4"/>
      <c r="K3556" s="4"/>
      <c r="L3556" s="4"/>
      <c r="M3556" s="4"/>
      <c r="N3556" s="4"/>
      <c r="O3556" s="4"/>
      <c r="P3556" s="4"/>
      <c r="Q3556" s="4"/>
      <c r="R3556" s="4"/>
      <c r="S3556" s="4"/>
      <c r="T3556" s="4"/>
      <c r="U3556" s="4"/>
      <c r="V3556" s="4"/>
      <c r="W3556" s="4"/>
      <c r="X3556" s="4"/>
      <c r="Y3556" s="4"/>
      <c r="Z3556" s="4"/>
      <c r="AA3556" s="4"/>
      <c r="AB3556" s="5"/>
    </row>
    <row r="3557" spans="1:28" x14ac:dyDescent="0.35">
      <c r="A3557" s="3"/>
      <c r="B3557" s="4"/>
      <c r="C3557" s="4"/>
      <c r="D3557" s="4"/>
      <c r="E3557" s="4"/>
      <c r="F3557" s="4"/>
      <c r="G3557" s="4"/>
      <c r="H3557" s="4"/>
      <c r="I3557" s="4"/>
      <c r="J3557" s="4"/>
      <c r="K3557" s="4"/>
      <c r="L3557" s="4"/>
      <c r="M3557" s="4"/>
      <c r="N3557" s="4"/>
      <c r="O3557" s="4"/>
      <c r="P3557" s="4"/>
      <c r="Q3557" s="4"/>
      <c r="R3557" s="4"/>
      <c r="S3557" s="4"/>
      <c r="T3557" s="4"/>
      <c r="U3557" s="4"/>
      <c r="V3557" s="4"/>
      <c r="W3557" s="4"/>
      <c r="X3557" s="4"/>
      <c r="Y3557" s="4"/>
      <c r="Z3557" s="4"/>
      <c r="AA3557" s="4"/>
      <c r="AB3557" s="5"/>
    </row>
    <row r="3558" spans="1:28" x14ac:dyDescent="0.35">
      <c r="A3558" s="3"/>
      <c r="B3558" s="4"/>
      <c r="C3558" s="4"/>
      <c r="D3558" s="4"/>
      <c r="E3558" s="4"/>
      <c r="F3558" s="4"/>
      <c r="G3558" s="4"/>
      <c r="H3558" s="4"/>
      <c r="I3558" s="4"/>
      <c r="J3558" s="4"/>
      <c r="K3558" s="4"/>
      <c r="L3558" s="4"/>
      <c r="M3558" s="4"/>
      <c r="N3558" s="4"/>
      <c r="O3558" s="4"/>
      <c r="P3558" s="4"/>
      <c r="Q3558" s="4"/>
      <c r="R3558" s="4"/>
      <c r="S3558" s="4"/>
      <c r="T3558" s="4"/>
      <c r="U3558" s="4"/>
      <c r="V3558" s="4"/>
      <c r="W3558" s="4"/>
      <c r="X3558" s="4"/>
      <c r="Y3558" s="4"/>
      <c r="Z3558" s="4"/>
      <c r="AA3558" s="4"/>
      <c r="AB3558" s="5"/>
    </row>
    <row r="3559" spans="1:28" x14ac:dyDescent="0.35">
      <c r="A3559" s="3"/>
      <c r="B3559" s="4"/>
      <c r="C3559" s="4"/>
      <c r="D3559" s="4"/>
      <c r="E3559" s="4"/>
      <c r="F3559" s="4"/>
      <c r="G3559" s="4"/>
      <c r="H3559" s="4"/>
      <c r="I3559" s="4"/>
      <c r="J3559" s="4"/>
      <c r="K3559" s="4"/>
      <c r="L3559" s="4"/>
      <c r="M3559" s="4"/>
      <c r="N3559" s="4"/>
      <c r="O3559" s="4"/>
      <c r="P3559" s="4"/>
      <c r="Q3559" s="4"/>
      <c r="R3559" s="4"/>
      <c r="S3559" s="4"/>
      <c r="T3559" s="4"/>
      <c r="U3559" s="4"/>
      <c r="V3559" s="4"/>
      <c r="W3559" s="4"/>
      <c r="X3559" s="4"/>
      <c r="Y3559" s="4"/>
      <c r="Z3559" s="4"/>
      <c r="AA3559" s="4"/>
      <c r="AB3559" s="5"/>
    </row>
    <row r="3560" spans="1:28" x14ac:dyDescent="0.35">
      <c r="A3560" s="3"/>
      <c r="B3560" s="4"/>
      <c r="C3560" s="4"/>
      <c r="D3560" s="4"/>
      <c r="E3560" s="4"/>
      <c r="F3560" s="4"/>
      <c r="G3560" s="4"/>
      <c r="H3560" s="4"/>
      <c r="I3560" s="4"/>
      <c r="J3560" s="4"/>
      <c r="K3560" s="4"/>
      <c r="L3560" s="4"/>
      <c r="M3560" s="4"/>
      <c r="N3560" s="4"/>
      <c r="O3560" s="4"/>
      <c r="P3560" s="4"/>
      <c r="Q3560" s="4"/>
      <c r="R3560" s="4"/>
      <c r="S3560" s="4"/>
      <c r="T3560" s="4"/>
      <c r="U3560" s="4"/>
      <c r="V3560" s="4"/>
      <c r="W3560" s="4"/>
      <c r="X3560" s="4"/>
      <c r="Y3560" s="4"/>
      <c r="Z3560" s="4"/>
      <c r="AA3560" s="4"/>
      <c r="AB3560" s="5"/>
    </row>
    <row r="3561" spans="1:28" x14ac:dyDescent="0.35">
      <c r="A3561" s="3"/>
      <c r="B3561" s="4"/>
      <c r="C3561" s="4"/>
      <c r="D3561" s="4"/>
      <c r="E3561" s="4"/>
      <c r="F3561" s="4"/>
      <c r="G3561" s="4"/>
      <c r="H3561" s="4"/>
      <c r="I3561" s="4"/>
      <c r="J3561" s="4"/>
      <c r="K3561" s="4"/>
      <c r="L3561" s="4"/>
      <c r="M3561" s="4"/>
      <c r="N3561" s="4"/>
      <c r="O3561" s="4"/>
      <c r="P3561" s="4"/>
      <c r="Q3561" s="4"/>
      <c r="R3561" s="4"/>
      <c r="S3561" s="4"/>
      <c r="T3561" s="4"/>
      <c r="U3561" s="4"/>
      <c r="V3561" s="4"/>
      <c r="W3561" s="4"/>
      <c r="X3561" s="4"/>
      <c r="Y3561" s="4"/>
      <c r="Z3561" s="4"/>
      <c r="AA3561" s="4"/>
      <c r="AB3561" s="5"/>
    </row>
    <row r="3562" spans="1:28" x14ac:dyDescent="0.35">
      <c r="A3562" s="3"/>
      <c r="B3562" s="4"/>
      <c r="C3562" s="4"/>
      <c r="D3562" s="4"/>
      <c r="E3562" s="4"/>
      <c r="F3562" s="4"/>
      <c r="G3562" s="4"/>
      <c r="H3562" s="4"/>
      <c r="I3562" s="4"/>
      <c r="J3562" s="4"/>
      <c r="K3562" s="4"/>
      <c r="L3562" s="4"/>
      <c r="M3562" s="4"/>
      <c r="N3562" s="4"/>
      <c r="O3562" s="4"/>
      <c r="P3562" s="4"/>
      <c r="Q3562" s="4"/>
      <c r="R3562" s="4"/>
      <c r="S3562" s="4"/>
      <c r="T3562" s="4"/>
      <c r="U3562" s="4"/>
      <c r="V3562" s="4"/>
      <c r="W3562" s="4"/>
      <c r="X3562" s="4"/>
      <c r="Y3562" s="4"/>
      <c r="Z3562" s="4"/>
      <c r="AA3562" s="4"/>
      <c r="AB3562" s="5"/>
    </row>
    <row r="3563" spans="1:28" x14ac:dyDescent="0.35">
      <c r="A3563" s="3"/>
      <c r="B3563" s="4"/>
      <c r="C3563" s="4"/>
      <c r="D3563" s="4"/>
      <c r="E3563" s="4"/>
      <c r="F3563" s="4"/>
      <c r="G3563" s="4"/>
      <c r="H3563" s="4"/>
      <c r="I3563" s="4"/>
      <c r="J3563" s="4"/>
      <c r="K3563" s="4"/>
      <c r="L3563" s="4"/>
      <c r="M3563" s="4"/>
      <c r="N3563" s="4"/>
      <c r="O3563" s="4"/>
      <c r="P3563" s="4"/>
      <c r="Q3563" s="4"/>
      <c r="R3563" s="4"/>
      <c r="S3563" s="4"/>
      <c r="T3563" s="4"/>
      <c r="U3563" s="4"/>
      <c r="V3563" s="4"/>
      <c r="W3563" s="4"/>
      <c r="X3563" s="4"/>
      <c r="Y3563" s="4"/>
      <c r="Z3563" s="4"/>
      <c r="AA3563" s="4"/>
      <c r="AB3563" s="5"/>
    </row>
    <row r="3564" spans="1:28" x14ac:dyDescent="0.35">
      <c r="A3564" s="3"/>
      <c r="B3564" s="4"/>
      <c r="C3564" s="4"/>
      <c r="D3564" s="4"/>
      <c r="E3564" s="4"/>
      <c r="F3564" s="4"/>
      <c r="G3564" s="4"/>
      <c r="H3564" s="4"/>
      <c r="I3564" s="4"/>
      <c r="J3564" s="4"/>
      <c r="K3564" s="4"/>
      <c r="L3564" s="4"/>
      <c r="M3564" s="4"/>
      <c r="N3564" s="4"/>
      <c r="O3564" s="4"/>
      <c r="P3564" s="4"/>
      <c r="Q3564" s="4"/>
      <c r="R3564" s="4"/>
      <c r="S3564" s="4"/>
      <c r="T3564" s="4"/>
      <c r="U3564" s="4"/>
      <c r="V3564" s="4"/>
      <c r="W3564" s="4"/>
      <c r="X3564" s="4"/>
      <c r="Y3564" s="4"/>
      <c r="Z3564" s="4"/>
      <c r="AA3564" s="4"/>
      <c r="AB3564" s="5"/>
    </row>
    <row r="3565" spans="1:28" x14ac:dyDescent="0.35">
      <c r="A3565" s="3"/>
      <c r="B3565" s="4"/>
      <c r="C3565" s="4"/>
      <c r="D3565" s="4"/>
      <c r="E3565" s="4"/>
      <c r="F3565" s="4"/>
      <c r="G3565" s="4"/>
      <c r="H3565" s="4"/>
      <c r="I3565" s="4"/>
      <c r="J3565" s="4"/>
      <c r="K3565" s="4"/>
      <c r="L3565" s="4"/>
      <c r="M3565" s="4"/>
      <c r="N3565" s="4"/>
      <c r="O3565" s="4"/>
      <c r="P3565" s="4"/>
      <c r="Q3565" s="4"/>
      <c r="R3565" s="4"/>
      <c r="S3565" s="4"/>
      <c r="T3565" s="4"/>
      <c r="U3565" s="4"/>
      <c r="V3565" s="4"/>
      <c r="W3565" s="4"/>
      <c r="X3565" s="4"/>
      <c r="Y3565" s="4"/>
      <c r="Z3565" s="4"/>
      <c r="AA3565" s="4"/>
      <c r="AB3565" s="5"/>
    </row>
    <row r="3566" spans="1:28" x14ac:dyDescent="0.35">
      <c r="A3566" s="3"/>
      <c r="B3566" s="4"/>
      <c r="C3566" s="4"/>
      <c r="D3566" s="4"/>
      <c r="E3566" s="4"/>
      <c r="F3566" s="4"/>
      <c r="G3566" s="4"/>
      <c r="H3566" s="4"/>
      <c r="I3566" s="4"/>
      <c r="J3566" s="4"/>
      <c r="K3566" s="4"/>
      <c r="L3566" s="4"/>
      <c r="M3566" s="4"/>
      <c r="N3566" s="4"/>
      <c r="O3566" s="4"/>
      <c r="P3566" s="4"/>
      <c r="Q3566" s="4"/>
      <c r="R3566" s="4"/>
      <c r="S3566" s="4"/>
      <c r="T3566" s="4"/>
      <c r="U3566" s="4"/>
      <c r="V3566" s="4"/>
      <c r="W3566" s="4"/>
      <c r="X3566" s="4"/>
      <c r="Y3566" s="4"/>
      <c r="Z3566" s="4"/>
      <c r="AA3566" s="4"/>
      <c r="AB3566" s="5"/>
    </row>
    <row r="3567" spans="1:28" x14ac:dyDescent="0.35">
      <c r="A3567" s="3"/>
      <c r="B3567" s="4"/>
      <c r="C3567" s="4"/>
      <c r="D3567" s="4"/>
      <c r="E3567" s="4"/>
      <c r="F3567" s="4"/>
      <c r="G3567" s="4"/>
      <c r="H3567" s="4"/>
      <c r="I3567" s="4"/>
      <c r="J3567" s="4"/>
      <c r="K3567" s="4"/>
      <c r="L3567" s="4"/>
      <c r="M3567" s="4"/>
      <c r="N3567" s="4"/>
      <c r="O3567" s="4"/>
      <c r="P3567" s="4"/>
      <c r="Q3567" s="4"/>
      <c r="R3567" s="4"/>
      <c r="S3567" s="4"/>
      <c r="T3567" s="4"/>
      <c r="U3567" s="4"/>
      <c r="V3567" s="4"/>
      <c r="W3567" s="4"/>
      <c r="X3567" s="4"/>
      <c r="Y3567" s="4"/>
      <c r="Z3567" s="4"/>
      <c r="AA3567" s="4"/>
      <c r="AB3567" s="5"/>
    </row>
    <row r="3568" spans="1:28" x14ac:dyDescent="0.35">
      <c r="A3568" s="3"/>
      <c r="B3568" s="4"/>
      <c r="C3568" s="4"/>
      <c r="D3568" s="4"/>
      <c r="E3568" s="4"/>
      <c r="F3568" s="4"/>
      <c r="G3568" s="4"/>
      <c r="H3568" s="4"/>
      <c r="I3568" s="4"/>
      <c r="J3568" s="4"/>
      <c r="K3568" s="4"/>
      <c r="L3568" s="4"/>
      <c r="M3568" s="4"/>
      <c r="N3568" s="4"/>
      <c r="O3568" s="4"/>
      <c r="P3568" s="4"/>
      <c r="Q3568" s="4"/>
      <c r="R3568" s="4"/>
      <c r="S3568" s="4"/>
      <c r="T3568" s="4"/>
      <c r="U3568" s="4"/>
      <c r="V3568" s="4"/>
      <c r="W3568" s="4"/>
      <c r="X3568" s="4"/>
      <c r="Y3568" s="4"/>
      <c r="Z3568" s="4"/>
      <c r="AA3568" s="4"/>
      <c r="AB3568" s="5"/>
    </row>
    <row r="3569" spans="1:28" x14ac:dyDescent="0.35">
      <c r="A3569" s="3"/>
      <c r="B3569" s="4"/>
      <c r="C3569" s="4"/>
      <c r="D3569" s="4"/>
      <c r="E3569" s="4"/>
      <c r="F3569" s="4"/>
      <c r="G3569" s="4"/>
      <c r="H3569" s="4"/>
      <c r="I3569" s="4"/>
      <c r="J3569" s="4"/>
      <c r="K3569" s="4"/>
      <c r="L3569" s="4"/>
      <c r="M3569" s="4"/>
      <c r="N3569" s="4"/>
      <c r="O3569" s="4"/>
      <c r="P3569" s="4"/>
      <c r="Q3569" s="4"/>
      <c r="R3569" s="4"/>
      <c r="S3569" s="4"/>
      <c r="T3569" s="4"/>
      <c r="U3569" s="4"/>
      <c r="V3569" s="4"/>
      <c r="W3569" s="4"/>
      <c r="X3569" s="4"/>
      <c r="Y3569" s="4"/>
      <c r="Z3569" s="4"/>
      <c r="AA3569" s="4"/>
      <c r="AB3569" s="5"/>
    </row>
    <row r="3570" spans="1:28" x14ac:dyDescent="0.35">
      <c r="A3570" s="3"/>
      <c r="B3570" s="4"/>
      <c r="C3570" s="4"/>
      <c r="D3570" s="4"/>
      <c r="E3570" s="4"/>
      <c r="F3570" s="4"/>
      <c r="G3570" s="4"/>
      <c r="H3570" s="4"/>
      <c r="I3570" s="4"/>
      <c r="J3570" s="4"/>
      <c r="K3570" s="4"/>
      <c r="L3570" s="4"/>
      <c r="M3570" s="4"/>
      <c r="N3570" s="4"/>
      <c r="O3570" s="4"/>
      <c r="P3570" s="4"/>
      <c r="Q3570" s="4"/>
      <c r="R3570" s="4"/>
      <c r="S3570" s="4"/>
      <c r="T3570" s="4"/>
      <c r="U3570" s="4"/>
      <c r="V3570" s="4"/>
      <c r="W3570" s="4"/>
      <c r="X3570" s="4"/>
      <c r="Y3570" s="4"/>
      <c r="Z3570" s="4"/>
      <c r="AA3570" s="4"/>
      <c r="AB3570" s="5"/>
    </row>
    <row r="3571" spans="1:28" x14ac:dyDescent="0.35">
      <c r="A3571" s="3"/>
      <c r="B3571" s="4"/>
      <c r="C3571" s="4"/>
      <c r="D3571" s="4"/>
      <c r="E3571" s="4"/>
      <c r="F3571" s="4"/>
      <c r="G3571" s="4"/>
      <c r="H3571" s="4"/>
      <c r="I3571" s="4"/>
      <c r="J3571" s="4"/>
      <c r="K3571" s="4"/>
      <c r="L3571" s="4"/>
      <c r="M3571" s="4"/>
      <c r="N3571" s="4"/>
      <c r="O3571" s="4"/>
      <c r="P3571" s="4"/>
      <c r="Q3571" s="4"/>
      <c r="R3571" s="4"/>
      <c r="S3571" s="4"/>
      <c r="T3571" s="4"/>
      <c r="U3571" s="4"/>
      <c r="V3571" s="4"/>
      <c r="W3571" s="4"/>
      <c r="X3571" s="4"/>
      <c r="Y3571" s="4"/>
      <c r="Z3571" s="4"/>
      <c r="AA3571" s="4"/>
      <c r="AB3571" s="5"/>
    </row>
    <row r="3572" spans="1:28" x14ac:dyDescent="0.35">
      <c r="A3572" s="3"/>
      <c r="B3572" s="4"/>
      <c r="C3572" s="4"/>
      <c r="D3572" s="4"/>
      <c r="E3572" s="4"/>
      <c r="F3572" s="4"/>
      <c r="G3572" s="4"/>
      <c r="H3572" s="4"/>
      <c r="I3572" s="4"/>
      <c r="J3572" s="4"/>
      <c r="K3572" s="4"/>
      <c r="L3572" s="4"/>
      <c r="M3572" s="4"/>
      <c r="N3572" s="4"/>
      <c r="O3572" s="4"/>
      <c r="P3572" s="4"/>
      <c r="Q3572" s="4"/>
      <c r="R3572" s="4"/>
      <c r="S3572" s="4"/>
      <c r="T3572" s="4"/>
      <c r="U3572" s="4"/>
      <c r="V3572" s="4"/>
      <c r="W3572" s="4"/>
      <c r="X3572" s="4"/>
      <c r="Y3572" s="4"/>
      <c r="Z3572" s="4"/>
      <c r="AA3572" s="4"/>
      <c r="AB3572" s="5"/>
    </row>
    <row r="3573" spans="1:28" x14ac:dyDescent="0.35">
      <c r="A3573" s="3"/>
      <c r="B3573" s="4"/>
      <c r="C3573" s="4"/>
      <c r="D3573" s="4"/>
      <c r="E3573" s="4"/>
      <c r="F3573" s="4"/>
      <c r="G3573" s="4"/>
      <c r="H3573" s="4"/>
      <c r="I3573" s="4"/>
      <c r="J3573" s="4"/>
      <c r="K3573" s="4"/>
      <c r="L3573" s="4"/>
      <c r="M3573" s="4"/>
      <c r="N3573" s="4"/>
      <c r="O3573" s="4"/>
      <c r="P3573" s="4"/>
      <c r="Q3573" s="4"/>
      <c r="R3573" s="4"/>
      <c r="S3573" s="4"/>
      <c r="T3573" s="4"/>
      <c r="U3573" s="4"/>
      <c r="V3573" s="4"/>
      <c r="W3573" s="4"/>
      <c r="X3573" s="4"/>
      <c r="Y3573" s="4"/>
      <c r="Z3573" s="4"/>
      <c r="AA3573" s="4"/>
      <c r="AB3573" s="5"/>
    </row>
    <row r="3574" spans="1:28" x14ac:dyDescent="0.35">
      <c r="A3574" s="3"/>
      <c r="B3574" s="4"/>
      <c r="C3574" s="4"/>
      <c r="D3574" s="4"/>
      <c r="E3574" s="4"/>
      <c r="F3574" s="4"/>
      <c r="G3574" s="4"/>
      <c r="H3574" s="4"/>
      <c r="I3574" s="4"/>
      <c r="J3574" s="4"/>
      <c r="K3574" s="4"/>
      <c r="L3574" s="4"/>
      <c r="M3574" s="4"/>
      <c r="N3574" s="4"/>
      <c r="O3574" s="4"/>
      <c r="P3574" s="4"/>
      <c r="Q3574" s="4"/>
      <c r="R3574" s="4"/>
      <c r="S3574" s="4"/>
      <c r="T3574" s="4"/>
      <c r="U3574" s="4"/>
      <c r="V3574" s="4"/>
      <c r="W3574" s="4"/>
      <c r="X3574" s="4"/>
      <c r="Y3574" s="4"/>
      <c r="Z3574" s="4"/>
      <c r="AA3574" s="4"/>
      <c r="AB3574" s="5"/>
    </row>
    <row r="3575" spans="1:28" x14ac:dyDescent="0.35">
      <c r="A3575" s="3"/>
      <c r="B3575" s="4"/>
      <c r="C3575" s="4"/>
      <c r="D3575" s="4"/>
      <c r="E3575" s="4"/>
      <c r="F3575" s="4"/>
      <c r="G3575" s="4"/>
      <c r="H3575" s="4"/>
      <c r="I3575" s="4"/>
      <c r="J3575" s="4"/>
      <c r="K3575" s="4"/>
      <c r="L3575" s="4"/>
      <c r="M3575" s="4"/>
      <c r="N3575" s="4"/>
      <c r="O3575" s="4"/>
      <c r="P3575" s="4"/>
      <c r="Q3575" s="4"/>
      <c r="R3575" s="4"/>
      <c r="S3575" s="4"/>
      <c r="T3575" s="4"/>
      <c r="U3575" s="4"/>
      <c r="V3575" s="4"/>
      <c r="W3575" s="4"/>
      <c r="X3575" s="4"/>
      <c r="Y3575" s="4"/>
      <c r="Z3575" s="4"/>
      <c r="AA3575" s="4"/>
      <c r="AB3575" s="5"/>
    </row>
    <row r="3576" spans="1:28" x14ac:dyDescent="0.35">
      <c r="A3576" s="3"/>
      <c r="B3576" s="4"/>
      <c r="C3576" s="4"/>
      <c r="D3576" s="4"/>
      <c r="E3576" s="4"/>
      <c r="F3576" s="4"/>
      <c r="G3576" s="4"/>
      <c r="H3576" s="4"/>
      <c r="I3576" s="4"/>
      <c r="J3576" s="4"/>
      <c r="K3576" s="4"/>
      <c r="L3576" s="4"/>
      <c r="M3576" s="4"/>
      <c r="N3576" s="4"/>
      <c r="O3576" s="4"/>
      <c r="P3576" s="4"/>
      <c r="Q3576" s="4"/>
      <c r="R3576" s="4"/>
      <c r="S3576" s="4"/>
      <c r="T3576" s="4"/>
      <c r="U3576" s="4"/>
      <c r="V3576" s="4"/>
      <c r="W3576" s="4"/>
      <c r="X3576" s="4"/>
      <c r="Y3576" s="4"/>
      <c r="Z3576" s="4"/>
      <c r="AA3576" s="4"/>
      <c r="AB3576" s="5"/>
    </row>
    <row r="3577" spans="1:28" x14ac:dyDescent="0.35">
      <c r="A3577" s="3"/>
      <c r="B3577" s="4"/>
      <c r="C3577" s="4"/>
      <c r="D3577" s="4"/>
      <c r="E3577" s="4"/>
      <c r="F3577" s="4"/>
      <c r="G3577" s="4"/>
      <c r="H3577" s="4"/>
      <c r="I3577" s="4"/>
      <c r="J3577" s="4"/>
      <c r="K3577" s="4"/>
      <c r="L3577" s="4"/>
      <c r="M3577" s="4"/>
      <c r="N3577" s="4"/>
      <c r="O3577" s="4"/>
      <c r="P3577" s="4"/>
      <c r="Q3577" s="4"/>
      <c r="R3577" s="4"/>
      <c r="S3577" s="4"/>
      <c r="T3577" s="4"/>
      <c r="U3577" s="4"/>
      <c r="V3577" s="4"/>
      <c r="W3577" s="4"/>
      <c r="X3577" s="4"/>
      <c r="Y3577" s="4"/>
      <c r="Z3577" s="4"/>
      <c r="AA3577" s="4"/>
      <c r="AB3577" s="5"/>
    </row>
    <row r="3578" spans="1:28" x14ac:dyDescent="0.35">
      <c r="A3578" s="3"/>
      <c r="B3578" s="4"/>
      <c r="C3578" s="4"/>
      <c r="D3578" s="4"/>
      <c r="E3578" s="4"/>
      <c r="F3578" s="4"/>
      <c r="G3578" s="4"/>
      <c r="H3578" s="4"/>
      <c r="I3578" s="4"/>
      <c r="J3578" s="4"/>
      <c r="K3578" s="4"/>
      <c r="L3578" s="4"/>
      <c r="M3578" s="4"/>
      <c r="N3578" s="4"/>
      <c r="O3578" s="4"/>
      <c r="P3578" s="4"/>
      <c r="Q3578" s="4"/>
      <c r="R3578" s="4"/>
      <c r="S3578" s="4"/>
      <c r="T3578" s="4"/>
      <c r="U3578" s="4"/>
      <c r="V3578" s="4"/>
      <c r="W3578" s="4"/>
      <c r="X3578" s="4"/>
      <c r="Y3578" s="4"/>
      <c r="Z3578" s="4"/>
      <c r="AA3578" s="4"/>
      <c r="AB3578" s="5"/>
    </row>
    <row r="3579" spans="1:28" x14ac:dyDescent="0.35">
      <c r="A3579" s="3"/>
      <c r="B3579" s="4"/>
      <c r="C3579" s="4"/>
      <c r="D3579" s="4"/>
      <c r="E3579" s="4"/>
      <c r="F3579" s="4"/>
      <c r="G3579" s="4"/>
      <c r="H3579" s="4"/>
      <c r="I3579" s="4"/>
      <c r="J3579" s="4"/>
      <c r="K3579" s="4"/>
      <c r="L3579" s="4"/>
      <c r="M3579" s="4"/>
      <c r="N3579" s="4"/>
      <c r="O3579" s="4"/>
      <c r="P3579" s="4"/>
      <c r="Q3579" s="4"/>
      <c r="R3579" s="4"/>
      <c r="S3579" s="4"/>
      <c r="T3579" s="4"/>
      <c r="U3579" s="4"/>
      <c r="V3579" s="4"/>
      <c r="W3579" s="4"/>
      <c r="X3579" s="4"/>
      <c r="Y3579" s="4"/>
      <c r="Z3579" s="4"/>
      <c r="AA3579" s="4"/>
      <c r="AB3579" s="5"/>
    </row>
    <row r="3580" spans="1:28" x14ac:dyDescent="0.35">
      <c r="A3580" s="3"/>
      <c r="B3580" s="4"/>
      <c r="C3580" s="4"/>
      <c r="D3580" s="4"/>
      <c r="E3580" s="4"/>
      <c r="F3580" s="4"/>
      <c r="G3580" s="4"/>
      <c r="H3580" s="4"/>
      <c r="I3580" s="4"/>
      <c r="J3580" s="4"/>
      <c r="K3580" s="4"/>
      <c r="L3580" s="4"/>
      <c r="M3580" s="4"/>
      <c r="N3580" s="4"/>
      <c r="O3580" s="4"/>
      <c r="P3580" s="4"/>
      <c r="Q3580" s="4"/>
      <c r="R3580" s="4"/>
      <c r="S3580" s="4"/>
      <c r="T3580" s="4"/>
      <c r="U3580" s="4"/>
      <c r="V3580" s="4"/>
      <c r="W3580" s="4"/>
      <c r="X3580" s="4"/>
      <c r="Y3580" s="4"/>
      <c r="Z3580" s="4"/>
      <c r="AA3580" s="4"/>
      <c r="AB3580" s="5"/>
    </row>
    <row r="3581" spans="1:28" x14ac:dyDescent="0.35">
      <c r="A3581" s="3"/>
      <c r="B3581" s="4"/>
      <c r="C3581" s="4"/>
      <c r="D3581" s="4"/>
      <c r="E3581" s="4"/>
      <c r="F3581" s="4"/>
      <c r="G3581" s="4"/>
      <c r="H3581" s="4"/>
      <c r="I3581" s="4"/>
      <c r="J3581" s="4"/>
      <c r="K3581" s="4"/>
      <c r="L3581" s="4"/>
      <c r="M3581" s="4"/>
      <c r="N3581" s="4"/>
      <c r="O3581" s="4"/>
      <c r="P3581" s="4"/>
      <c r="Q3581" s="4"/>
      <c r="R3581" s="4"/>
      <c r="S3581" s="4"/>
      <c r="T3581" s="4"/>
      <c r="U3581" s="4"/>
      <c r="V3581" s="4"/>
      <c r="W3581" s="4"/>
      <c r="X3581" s="4"/>
      <c r="Y3581" s="4"/>
      <c r="Z3581" s="4"/>
      <c r="AA3581" s="4"/>
      <c r="AB3581" s="5"/>
    </row>
    <row r="3582" spans="1:28" x14ac:dyDescent="0.35">
      <c r="A3582" s="3"/>
      <c r="B3582" s="4"/>
      <c r="C3582" s="4"/>
      <c r="D3582" s="4"/>
      <c r="E3582" s="4"/>
      <c r="F3582" s="4"/>
      <c r="G3582" s="4"/>
      <c r="H3582" s="4"/>
      <c r="I3582" s="4"/>
      <c r="J3582" s="4"/>
      <c r="K3582" s="4"/>
      <c r="L3582" s="4"/>
      <c r="M3582" s="4"/>
      <c r="N3582" s="4"/>
      <c r="O3582" s="4"/>
      <c r="P3582" s="4"/>
      <c r="Q3582" s="4"/>
      <c r="R3582" s="4"/>
      <c r="S3582" s="4"/>
      <c r="T3582" s="4"/>
      <c r="U3582" s="4"/>
      <c r="V3582" s="4"/>
      <c r="W3582" s="4"/>
      <c r="X3582" s="4"/>
      <c r="Y3582" s="4"/>
      <c r="Z3582" s="4"/>
      <c r="AA3582" s="4"/>
      <c r="AB3582" s="5"/>
    </row>
    <row r="3583" spans="1:28" x14ac:dyDescent="0.35">
      <c r="A3583" s="3"/>
      <c r="B3583" s="4"/>
      <c r="C3583" s="4"/>
      <c r="D3583" s="4"/>
      <c r="E3583" s="4"/>
      <c r="F3583" s="4"/>
      <c r="G3583" s="4"/>
      <c r="H3583" s="4"/>
      <c r="I3583" s="4"/>
      <c r="J3583" s="4"/>
      <c r="K3583" s="4"/>
      <c r="L3583" s="4"/>
      <c r="M3583" s="4"/>
      <c r="N3583" s="4"/>
      <c r="O3583" s="4"/>
      <c r="P3583" s="4"/>
      <c r="Q3583" s="4"/>
      <c r="R3583" s="4"/>
      <c r="S3583" s="4"/>
      <c r="T3583" s="4"/>
      <c r="U3583" s="4"/>
      <c r="V3583" s="4"/>
      <c r="W3583" s="4"/>
      <c r="X3583" s="4"/>
      <c r="Y3583" s="4"/>
      <c r="Z3583" s="4"/>
      <c r="AA3583" s="4"/>
      <c r="AB3583" s="5"/>
    </row>
    <row r="3584" spans="1:28" x14ac:dyDescent="0.35">
      <c r="A3584" s="3"/>
      <c r="B3584" s="4"/>
      <c r="C3584" s="4"/>
      <c r="D3584" s="4"/>
      <c r="E3584" s="4"/>
      <c r="F3584" s="4"/>
      <c r="G3584" s="4"/>
      <c r="H3584" s="4"/>
      <c r="I3584" s="4"/>
      <c r="J3584" s="4"/>
      <c r="K3584" s="4"/>
      <c r="L3584" s="4"/>
      <c r="M3584" s="4"/>
      <c r="N3584" s="4"/>
      <c r="O3584" s="4"/>
      <c r="P3584" s="4"/>
      <c r="Q3584" s="4"/>
      <c r="R3584" s="4"/>
      <c r="S3584" s="4"/>
      <c r="T3584" s="4"/>
      <c r="U3584" s="4"/>
      <c r="V3584" s="4"/>
      <c r="W3584" s="4"/>
      <c r="X3584" s="4"/>
      <c r="Y3584" s="4"/>
      <c r="Z3584" s="4"/>
      <c r="AA3584" s="4"/>
      <c r="AB3584" s="5"/>
    </row>
    <row r="3585" spans="1:28" x14ac:dyDescent="0.35">
      <c r="A3585" s="3"/>
      <c r="B3585" s="4"/>
      <c r="C3585" s="4"/>
      <c r="D3585" s="4"/>
      <c r="E3585" s="4"/>
      <c r="F3585" s="4"/>
      <c r="G3585" s="4"/>
      <c r="H3585" s="4"/>
      <c r="I3585" s="4"/>
      <c r="J3585" s="4"/>
      <c r="K3585" s="4"/>
      <c r="L3585" s="4"/>
      <c r="M3585" s="4"/>
      <c r="N3585" s="4"/>
      <c r="O3585" s="4"/>
      <c r="P3585" s="4"/>
      <c r="Q3585" s="4"/>
      <c r="R3585" s="4"/>
      <c r="S3585" s="4"/>
      <c r="T3585" s="4"/>
      <c r="U3585" s="4"/>
      <c r="V3585" s="4"/>
      <c r="W3585" s="4"/>
      <c r="X3585" s="4"/>
      <c r="Y3585" s="4"/>
      <c r="Z3585" s="4"/>
      <c r="AA3585" s="4"/>
      <c r="AB3585" s="5"/>
    </row>
    <row r="3586" spans="1:28" x14ac:dyDescent="0.35">
      <c r="A3586" s="3"/>
      <c r="B3586" s="4"/>
      <c r="C3586" s="4"/>
      <c r="D3586" s="4"/>
      <c r="E3586" s="4"/>
      <c r="F3586" s="4"/>
      <c r="G3586" s="4"/>
      <c r="H3586" s="4"/>
      <c r="I3586" s="4"/>
      <c r="J3586" s="4"/>
      <c r="K3586" s="4"/>
      <c r="L3586" s="4"/>
      <c r="M3586" s="4"/>
      <c r="N3586" s="4"/>
      <c r="O3586" s="4"/>
      <c r="P3586" s="4"/>
      <c r="Q3586" s="4"/>
      <c r="R3586" s="4"/>
      <c r="S3586" s="4"/>
      <c r="T3586" s="4"/>
      <c r="U3586" s="4"/>
      <c r="V3586" s="4"/>
      <c r="W3586" s="4"/>
      <c r="X3586" s="4"/>
      <c r="Y3586" s="4"/>
      <c r="Z3586" s="4"/>
      <c r="AA3586" s="4"/>
      <c r="AB3586" s="5"/>
    </row>
    <row r="3587" spans="1:28" x14ac:dyDescent="0.35">
      <c r="A3587" s="3"/>
      <c r="B3587" s="4"/>
      <c r="C3587" s="4"/>
      <c r="D3587" s="4"/>
      <c r="E3587" s="4"/>
      <c r="F3587" s="4"/>
      <c r="G3587" s="4"/>
      <c r="H3587" s="4"/>
      <c r="I3587" s="4"/>
      <c r="J3587" s="4"/>
      <c r="K3587" s="4"/>
      <c r="L3587" s="4"/>
      <c r="M3587" s="4"/>
      <c r="N3587" s="4"/>
      <c r="O3587" s="4"/>
      <c r="P3587" s="4"/>
      <c r="Q3587" s="4"/>
      <c r="R3587" s="4"/>
      <c r="S3587" s="4"/>
      <c r="T3587" s="4"/>
      <c r="U3587" s="4"/>
      <c r="V3587" s="4"/>
      <c r="W3587" s="4"/>
      <c r="X3587" s="4"/>
      <c r="Y3587" s="4"/>
      <c r="Z3587" s="4"/>
      <c r="AA3587" s="4"/>
      <c r="AB3587" s="5"/>
    </row>
    <row r="3588" spans="1:28" x14ac:dyDescent="0.35">
      <c r="A3588" s="3"/>
      <c r="B3588" s="4"/>
      <c r="C3588" s="4"/>
      <c r="D3588" s="4"/>
      <c r="E3588" s="4"/>
      <c r="F3588" s="4"/>
      <c r="G3588" s="4"/>
      <c r="H3588" s="4"/>
      <c r="I3588" s="4"/>
      <c r="J3588" s="4"/>
      <c r="K3588" s="4"/>
      <c r="L3588" s="4"/>
      <c r="M3588" s="4"/>
      <c r="N3588" s="4"/>
      <c r="O3588" s="4"/>
      <c r="P3588" s="4"/>
      <c r="Q3588" s="4"/>
      <c r="R3588" s="4"/>
      <c r="S3588" s="4"/>
      <c r="T3588" s="4"/>
      <c r="U3588" s="4"/>
      <c r="V3588" s="4"/>
      <c r="W3588" s="4"/>
      <c r="X3588" s="4"/>
      <c r="Y3588" s="4"/>
      <c r="Z3588" s="4"/>
      <c r="AA3588" s="4"/>
      <c r="AB3588" s="5"/>
    </row>
    <row r="3589" spans="1:28" x14ac:dyDescent="0.35">
      <c r="A3589" s="3"/>
      <c r="B3589" s="4"/>
      <c r="C3589" s="4"/>
      <c r="D3589" s="4"/>
      <c r="E3589" s="4"/>
      <c r="F3589" s="4"/>
      <c r="G3589" s="4"/>
      <c r="H3589" s="4"/>
      <c r="I3589" s="4"/>
      <c r="J3589" s="4"/>
      <c r="K3589" s="4"/>
      <c r="L3589" s="4"/>
      <c r="M3589" s="4"/>
      <c r="N3589" s="4"/>
      <c r="O3589" s="4"/>
      <c r="P3589" s="4"/>
      <c r="Q3589" s="4"/>
      <c r="R3589" s="4"/>
      <c r="S3589" s="4"/>
      <c r="T3589" s="4"/>
      <c r="U3589" s="4"/>
      <c r="V3589" s="4"/>
      <c r="W3589" s="4"/>
      <c r="X3589" s="4"/>
      <c r="Y3589" s="4"/>
      <c r="Z3589" s="4"/>
      <c r="AA3589" s="4"/>
      <c r="AB3589" s="5"/>
    </row>
    <row r="3590" spans="1:28" x14ac:dyDescent="0.35">
      <c r="A3590" s="3"/>
      <c r="B3590" s="4"/>
      <c r="C3590" s="4"/>
      <c r="D3590" s="4"/>
      <c r="E3590" s="4"/>
      <c r="F3590" s="4"/>
      <c r="G3590" s="4"/>
      <c r="H3590" s="4"/>
      <c r="I3590" s="4"/>
      <c r="J3590" s="4"/>
      <c r="K3590" s="4"/>
      <c r="L3590" s="4"/>
      <c r="M3590" s="4"/>
      <c r="N3590" s="4"/>
      <c r="O3590" s="4"/>
      <c r="P3590" s="4"/>
      <c r="Q3590" s="4"/>
      <c r="R3590" s="4"/>
      <c r="S3590" s="4"/>
      <c r="T3590" s="4"/>
      <c r="U3590" s="4"/>
      <c r="V3590" s="4"/>
      <c r="W3590" s="4"/>
      <c r="X3590" s="4"/>
      <c r="Y3590" s="4"/>
      <c r="Z3590" s="4"/>
      <c r="AA3590" s="4"/>
      <c r="AB3590" s="5"/>
    </row>
    <row r="3591" spans="1:28" x14ac:dyDescent="0.35">
      <c r="A3591" s="3"/>
      <c r="B3591" s="4"/>
      <c r="C3591" s="4"/>
      <c r="D3591" s="4"/>
      <c r="E3591" s="4"/>
      <c r="F3591" s="4"/>
      <c r="G3591" s="4"/>
      <c r="H3591" s="4"/>
      <c r="I3591" s="4"/>
      <c r="J3591" s="4"/>
      <c r="K3591" s="4"/>
      <c r="L3591" s="4"/>
      <c r="M3591" s="4"/>
      <c r="N3591" s="4"/>
      <c r="O3591" s="4"/>
      <c r="P3591" s="4"/>
      <c r="Q3591" s="4"/>
      <c r="R3591" s="4"/>
      <c r="S3591" s="4"/>
      <c r="T3591" s="4"/>
      <c r="U3591" s="4"/>
      <c r="V3591" s="4"/>
      <c r="W3591" s="4"/>
      <c r="X3591" s="4"/>
      <c r="Y3591" s="4"/>
      <c r="Z3591" s="4"/>
      <c r="AA3591" s="4"/>
      <c r="AB3591" s="5"/>
    </row>
    <row r="3592" spans="1:28" x14ac:dyDescent="0.35">
      <c r="A3592" s="3"/>
      <c r="B3592" s="4"/>
      <c r="C3592" s="4"/>
      <c r="D3592" s="4"/>
      <c r="E3592" s="4"/>
      <c r="F3592" s="4"/>
      <c r="G3592" s="4"/>
      <c r="H3592" s="4"/>
      <c r="I3592" s="4"/>
      <c r="J3592" s="4"/>
      <c r="K3592" s="4"/>
      <c r="L3592" s="4"/>
      <c r="M3592" s="4"/>
      <c r="N3592" s="4"/>
      <c r="O3592" s="4"/>
      <c r="P3592" s="4"/>
      <c r="Q3592" s="4"/>
      <c r="R3592" s="4"/>
      <c r="S3592" s="4"/>
      <c r="T3592" s="4"/>
      <c r="U3592" s="4"/>
      <c r="V3592" s="4"/>
      <c r="W3592" s="4"/>
      <c r="X3592" s="4"/>
      <c r="Y3592" s="4"/>
      <c r="Z3592" s="4"/>
      <c r="AA3592" s="4"/>
      <c r="AB3592" s="5"/>
    </row>
    <row r="3593" spans="1:28" x14ac:dyDescent="0.35">
      <c r="A3593" s="3"/>
      <c r="B3593" s="4"/>
      <c r="C3593" s="4"/>
      <c r="D3593" s="4"/>
      <c r="E3593" s="4"/>
      <c r="F3593" s="4"/>
      <c r="G3593" s="4"/>
      <c r="H3593" s="4"/>
      <c r="I3593" s="4"/>
      <c r="J3593" s="4"/>
      <c r="K3593" s="4"/>
      <c r="L3593" s="4"/>
      <c r="M3593" s="4"/>
      <c r="N3593" s="4"/>
      <c r="O3593" s="4"/>
      <c r="P3593" s="4"/>
      <c r="Q3593" s="4"/>
      <c r="R3593" s="4"/>
      <c r="S3593" s="4"/>
      <c r="T3593" s="4"/>
      <c r="U3593" s="4"/>
      <c r="V3593" s="4"/>
      <c r="W3593" s="4"/>
      <c r="X3593" s="4"/>
      <c r="Y3593" s="4"/>
      <c r="Z3593" s="4"/>
      <c r="AA3593" s="4"/>
      <c r="AB3593" s="5"/>
    </row>
    <row r="3594" spans="1:28" x14ac:dyDescent="0.35">
      <c r="A3594" s="3"/>
      <c r="B3594" s="4"/>
      <c r="C3594" s="4"/>
      <c r="D3594" s="4"/>
      <c r="E3594" s="4"/>
      <c r="F3594" s="4"/>
      <c r="G3594" s="4"/>
      <c r="H3594" s="4"/>
      <c r="I3594" s="4"/>
      <c r="J3594" s="4"/>
      <c r="K3594" s="4"/>
      <c r="L3594" s="4"/>
      <c r="M3594" s="4"/>
      <c r="N3594" s="4"/>
      <c r="O3594" s="4"/>
      <c r="P3594" s="4"/>
      <c r="Q3594" s="4"/>
      <c r="R3594" s="4"/>
      <c r="S3594" s="4"/>
      <c r="T3594" s="4"/>
      <c r="U3594" s="4"/>
      <c r="V3594" s="4"/>
      <c r="W3594" s="4"/>
      <c r="X3594" s="4"/>
      <c r="Y3594" s="4"/>
      <c r="Z3594" s="4"/>
      <c r="AA3594" s="4"/>
      <c r="AB3594" s="5"/>
    </row>
    <row r="3595" spans="1:28" x14ac:dyDescent="0.35">
      <c r="A3595" s="3"/>
      <c r="B3595" s="4"/>
      <c r="C3595" s="4"/>
      <c r="D3595" s="4"/>
      <c r="E3595" s="4"/>
      <c r="F3595" s="4"/>
      <c r="G3595" s="4"/>
      <c r="H3595" s="4"/>
      <c r="I3595" s="4"/>
      <c r="J3595" s="4"/>
      <c r="K3595" s="4"/>
      <c r="L3595" s="4"/>
      <c r="M3595" s="4"/>
      <c r="N3595" s="4"/>
      <c r="O3595" s="4"/>
      <c r="P3595" s="4"/>
      <c r="Q3595" s="4"/>
      <c r="R3595" s="4"/>
      <c r="S3595" s="4"/>
      <c r="T3595" s="4"/>
      <c r="U3595" s="4"/>
      <c r="V3595" s="4"/>
      <c r="W3595" s="4"/>
      <c r="X3595" s="4"/>
      <c r="Y3595" s="4"/>
      <c r="Z3595" s="4"/>
      <c r="AA3595" s="4"/>
      <c r="AB3595" s="5"/>
    </row>
    <row r="3596" spans="1:28" x14ac:dyDescent="0.35">
      <c r="A3596" s="3"/>
      <c r="B3596" s="4"/>
      <c r="C3596" s="4"/>
      <c r="D3596" s="4"/>
      <c r="E3596" s="4"/>
      <c r="F3596" s="4"/>
      <c r="G3596" s="4"/>
      <c r="H3596" s="4"/>
      <c r="I3596" s="4"/>
      <c r="J3596" s="4"/>
      <c r="K3596" s="4"/>
      <c r="L3596" s="4"/>
      <c r="M3596" s="4"/>
      <c r="N3596" s="4"/>
      <c r="O3596" s="4"/>
      <c r="P3596" s="4"/>
      <c r="Q3596" s="4"/>
      <c r="R3596" s="4"/>
      <c r="S3596" s="4"/>
      <c r="T3596" s="4"/>
      <c r="U3596" s="4"/>
      <c r="V3596" s="4"/>
      <c r="W3596" s="4"/>
      <c r="X3596" s="4"/>
      <c r="Y3596" s="4"/>
      <c r="Z3596" s="4"/>
      <c r="AA3596" s="4"/>
      <c r="AB3596" s="5"/>
    </row>
    <row r="3597" spans="1:28" x14ac:dyDescent="0.35">
      <c r="A3597" s="3"/>
      <c r="B3597" s="4"/>
      <c r="C3597" s="4"/>
      <c r="D3597" s="4"/>
      <c r="E3597" s="4"/>
      <c r="F3597" s="4"/>
      <c r="G3597" s="4"/>
      <c r="H3597" s="4"/>
      <c r="I3597" s="4"/>
      <c r="J3597" s="4"/>
      <c r="K3597" s="4"/>
      <c r="L3597" s="4"/>
      <c r="M3597" s="4"/>
      <c r="N3597" s="4"/>
      <c r="O3597" s="4"/>
      <c r="P3597" s="4"/>
      <c r="Q3597" s="4"/>
      <c r="R3597" s="4"/>
      <c r="S3597" s="4"/>
      <c r="T3597" s="4"/>
      <c r="U3597" s="4"/>
      <c r="V3597" s="4"/>
      <c r="W3597" s="4"/>
      <c r="X3597" s="4"/>
      <c r="Y3597" s="4"/>
      <c r="Z3597" s="4"/>
      <c r="AA3597" s="4"/>
      <c r="AB3597" s="5"/>
    </row>
    <row r="3598" spans="1:28" x14ac:dyDescent="0.35">
      <c r="A3598" s="3"/>
      <c r="B3598" s="4"/>
      <c r="C3598" s="4"/>
      <c r="D3598" s="4"/>
      <c r="E3598" s="4"/>
      <c r="F3598" s="4"/>
      <c r="G3598" s="4"/>
      <c r="H3598" s="4"/>
      <c r="I3598" s="4"/>
      <c r="J3598" s="4"/>
      <c r="K3598" s="4"/>
      <c r="L3598" s="4"/>
      <c r="M3598" s="4"/>
      <c r="N3598" s="4"/>
      <c r="O3598" s="4"/>
      <c r="P3598" s="4"/>
      <c r="Q3598" s="4"/>
      <c r="R3598" s="4"/>
      <c r="S3598" s="4"/>
      <c r="T3598" s="4"/>
      <c r="U3598" s="4"/>
      <c r="V3598" s="4"/>
      <c r="W3598" s="4"/>
      <c r="X3598" s="4"/>
      <c r="Y3598" s="4"/>
      <c r="Z3598" s="4"/>
      <c r="AA3598" s="4"/>
      <c r="AB3598" s="5"/>
    </row>
    <row r="3599" spans="1:28" x14ac:dyDescent="0.35">
      <c r="A3599" s="3"/>
      <c r="B3599" s="4"/>
      <c r="C3599" s="4"/>
      <c r="D3599" s="4"/>
      <c r="E3599" s="4"/>
      <c r="F3599" s="4"/>
      <c r="G3599" s="4"/>
      <c r="H3599" s="4"/>
      <c r="I3599" s="4"/>
      <c r="J3599" s="4"/>
      <c r="K3599" s="4"/>
      <c r="L3599" s="4"/>
      <c r="M3599" s="4"/>
      <c r="N3599" s="4"/>
      <c r="O3599" s="4"/>
      <c r="P3599" s="4"/>
      <c r="Q3599" s="4"/>
      <c r="R3599" s="4"/>
      <c r="S3599" s="4"/>
      <c r="T3599" s="4"/>
      <c r="U3599" s="4"/>
      <c r="V3599" s="4"/>
      <c r="W3599" s="4"/>
      <c r="X3599" s="4"/>
      <c r="Y3599" s="4"/>
      <c r="Z3599" s="4"/>
      <c r="AA3599" s="4"/>
      <c r="AB3599" s="5"/>
    </row>
    <row r="3600" spans="1:28" x14ac:dyDescent="0.35">
      <c r="A3600" s="3"/>
      <c r="B3600" s="4"/>
      <c r="C3600" s="4"/>
      <c r="D3600" s="4"/>
      <c r="E3600" s="4"/>
      <c r="F3600" s="4"/>
      <c r="G3600" s="4"/>
      <c r="H3600" s="4"/>
      <c r="I3600" s="4"/>
      <c r="J3600" s="4"/>
      <c r="K3600" s="4"/>
      <c r="L3600" s="4"/>
      <c r="M3600" s="4"/>
      <c r="N3600" s="4"/>
      <c r="O3600" s="4"/>
      <c r="P3600" s="4"/>
      <c r="Q3600" s="4"/>
      <c r="R3600" s="4"/>
      <c r="S3600" s="4"/>
      <c r="T3600" s="4"/>
      <c r="U3600" s="4"/>
      <c r="V3600" s="4"/>
      <c r="W3600" s="4"/>
      <c r="X3600" s="4"/>
      <c r="Y3600" s="4"/>
      <c r="Z3600" s="4"/>
      <c r="AA3600" s="4"/>
      <c r="AB3600" s="5"/>
    </row>
    <row r="3601" spans="1:28" x14ac:dyDescent="0.35">
      <c r="A3601" s="3"/>
      <c r="B3601" s="4"/>
      <c r="C3601" s="4"/>
      <c r="D3601" s="4"/>
      <c r="E3601" s="4"/>
      <c r="F3601" s="4"/>
      <c r="G3601" s="4"/>
      <c r="H3601" s="4"/>
      <c r="I3601" s="4"/>
      <c r="J3601" s="4"/>
      <c r="K3601" s="4"/>
      <c r="L3601" s="4"/>
      <c r="M3601" s="4"/>
      <c r="N3601" s="4"/>
      <c r="O3601" s="4"/>
      <c r="P3601" s="4"/>
      <c r="Q3601" s="4"/>
      <c r="R3601" s="4"/>
      <c r="S3601" s="4"/>
      <c r="T3601" s="4"/>
      <c r="U3601" s="4"/>
      <c r="V3601" s="4"/>
      <c r="W3601" s="4"/>
      <c r="X3601" s="4"/>
      <c r="Y3601" s="4"/>
      <c r="Z3601" s="4"/>
      <c r="AA3601" s="4"/>
      <c r="AB3601" s="5"/>
    </row>
    <row r="3602" spans="1:28" x14ac:dyDescent="0.35">
      <c r="A3602" s="3"/>
      <c r="B3602" s="4"/>
      <c r="C3602" s="4"/>
      <c r="D3602" s="4"/>
      <c r="E3602" s="4"/>
      <c r="F3602" s="4"/>
      <c r="G3602" s="4"/>
      <c r="H3602" s="4"/>
      <c r="I3602" s="4"/>
      <c r="J3602" s="4"/>
      <c r="K3602" s="4"/>
      <c r="L3602" s="4"/>
      <c r="M3602" s="4"/>
      <c r="N3602" s="4"/>
      <c r="O3602" s="4"/>
      <c r="P3602" s="4"/>
      <c r="Q3602" s="4"/>
      <c r="R3602" s="4"/>
      <c r="S3602" s="4"/>
      <c r="T3602" s="4"/>
      <c r="U3602" s="4"/>
      <c r="V3602" s="4"/>
      <c r="W3602" s="4"/>
      <c r="X3602" s="4"/>
      <c r="Y3602" s="4"/>
      <c r="Z3602" s="4"/>
      <c r="AA3602" s="4"/>
      <c r="AB3602" s="5"/>
    </row>
    <row r="3603" spans="1:28" x14ac:dyDescent="0.35">
      <c r="A3603" s="3"/>
      <c r="B3603" s="4"/>
      <c r="C3603" s="4"/>
      <c r="D3603" s="4"/>
      <c r="E3603" s="4"/>
      <c r="F3603" s="4"/>
      <c r="G3603" s="4"/>
      <c r="H3603" s="4"/>
      <c r="I3603" s="4"/>
      <c r="J3603" s="4"/>
      <c r="K3603" s="4"/>
      <c r="L3603" s="4"/>
      <c r="M3603" s="4"/>
      <c r="N3603" s="4"/>
      <c r="O3603" s="4"/>
      <c r="P3603" s="4"/>
      <c r="Q3603" s="4"/>
      <c r="R3603" s="4"/>
      <c r="S3603" s="4"/>
      <c r="T3603" s="4"/>
      <c r="U3603" s="4"/>
      <c r="V3603" s="4"/>
      <c r="W3603" s="4"/>
      <c r="X3603" s="4"/>
      <c r="Y3603" s="4"/>
      <c r="Z3603" s="4"/>
      <c r="AA3603" s="4"/>
      <c r="AB3603" s="5"/>
    </row>
    <row r="3604" spans="1:28" x14ac:dyDescent="0.35">
      <c r="A3604" s="3"/>
      <c r="B3604" s="4"/>
      <c r="C3604" s="4"/>
      <c r="D3604" s="4"/>
      <c r="E3604" s="4"/>
      <c r="F3604" s="4"/>
      <c r="G3604" s="4"/>
      <c r="H3604" s="4"/>
      <c r="I3604" s="4"/>
      <c r="J3604" s="4"/>
      <c r="K3604" s="4"/>
      <c r="L3604" s="4"/>
      <c r="M3604" s="4"/>
      <c r="N3604" s="4"/>
      <c r="O3604" s="4"/>
      <c r="P3604" s="4"/>
      <c r="Q3604" s="4"/>
      <c r="R3604" s="4"/>
      <c r="S3604" s="4"/>
      <c r="T3604" s="4"/>
      <c r="U3604" s="4"/>
      <c r="V3604" s="4"/>
      <c r="W3604" s="4"/>
      <c r="X3604" s="4"/>
      <c r="Y3604" s="4"/>
      <c r="Z3604" s="4"/>
      <c r="AA3604" s="4"/>
      <c r="AB3604" s="5"/>
    </row>
    <row r="3605" spans="1:28" x14ac:dyDescent="0.35">
      <c r="A3605" s="3"/>
      <c r="B3605" s="4"/>
      <c r="C3605" s="4"/>
      <c r="D3605" s="4"/>
      <c r="E3605" s="4"/>
      <c r="F3605" s="4"/>
      <c r="G3605" s="4"/>
      <c r="H3605" s="4"/>
      <c r="I3605" s="4"/>
      <c r="J3605" s="4"/>
      <c r="K3605" s="4"/>
      <c r="L3605" s="4"/>
      <c r="M3605" s="4"/>
      <c r="N3605" s="4"/>
      <c r="O3605" s="4"/>
      <c r="P3605" s="4"/>
      <c r="Q3605" s="4"/>
      <c r="R3605" s="4"/>
      <c r="S3605" s="4"/>
      <c r="T3605" s="4"/>
      <c r="U3605" s="4"/>
      <c r="V3605" s="4"/>
      <c r="W3605" s="4"/>
      <c r="X3605" s="4"/>
      <c r="Y3605" s="4"/>
      <c r="Z3605" s="4"/>
      <c r="AA3605" s="4"/>
      <c r="AB3605" s="5"/>
    </row>
    <row r="3606" spans="1:28" x14ac:dyDescent="0.35">
      <c r="A3606" s="3"/>
      <c r="B3606" s="4"/>
      <c r="C3606" s="4"/>
      <c r="D3606" s="4"/>
      <c r="E3606" s="4"/>
      <c r="F3606" s="4"/>
      <c r="G3606" s="4"/>
      <c r="H3606" s="4"/>
      <c r="I3606" s="4"/>
      <c r="J3606" s="4"/>
      <c r="K3606" s="4"/>
      <c r="L3606" s="4"/>
      <c r="M3606" s="4"/>
      <c r="N3606" s="4"/>
      <c r="O3606" s="4"/>
      <c r="P3606" s="4"/>
      <c r="Q3606" s="4"/>
      <c r="R3606" s="4"/>
      <c r="S3606" s="4"/>
      <c r="T3606" s="4"/>
      <c r="U3606" s="4"/>
      <c r="V3606" s="4"/>
      <c r="W3606" s="4"/>
      <c r="X3606" s="4"/>
      <c r="Y3606" s="4"/>
      <c r="Z3606" s="4"/>
      <c r="AA3606" s="4"/>
      <c r="AB3606" s="5"/>
    </row>
    <row r="3607" spans="1:28" x14ac:dyDescent="0.35">
      <c r="A3607" s="3"/>
      <c r="B3607" s="4"/>
      <c r="C3607" s="4"/>
      <c r="D3607" s="4"/>
      <c r="E3607" s="4"/>
      <c r="F3607" s="4"/>
      <c r="G3607" s="4"/>
      <c r="H3607" s="4"/>
      <c r="I3607" s="4"/>
      <c r="J3607" s="4"/>
      <c r="K3607" s="4"/>
      <c r="L3607" s="4"/>
      <c r="M3607" s="4"/>
      <c r="N3607" s="4"/>
      <c r="O3607" s="4"/>
      <c r="P3607" s="4"/>
      <c r="Q3607" s="4"/>
      <c r="R3607" s="4"/>
      <c r="S3607" s="4"/>
      <c r="T3607" s="4"/>
      <c r="U3607" s="4"/>
      <c r="V3607" s="4"/>
      <c r="W3607" s="4"/>
      <c r="X3607" s="4"/>
      <c r="Y3607" s="4"/>
      <c r="Z3607" s="4"/>
      <c r="AA3607" s="4"/>
      <c r="AB3607" s="5"/>
    </row>
    <row r="3608" spans="1:28" x14ac:dyDescent="0.35">
      <c r="A3608" s="3"/>
      <c r="B3608" s="4"/>
      <c r="C3608" s="4"/>
      <c r="D3608" s="4"/>
      <c r="E3608" s="4"/>
      <c r="F3608" s="4"/>
      <c r="G3608" s="4"/>
      <c r="H3608" s="4"/>
      <c r="I3608" s="4"/>
      <c r="J3608" s="4"/>
      <c r="K3608" s="4"/>
      <c r="L3608" s="4"/>
      <c r="M3608" s="4"/>
      <c r="N3608" s="4"/>
      <c r="O3608" s="4"/>
      <c r="P3608" s="4"/>
      <c r="Q3608" s="4"/>
      <c r="R3608" s="4"/>
      <c r="S3608" s="4"/>
      <c r="T3608" s="4"/>
      <c r="U3608" s="4"/>
      <c r="V3608" s="4"/>
      <c r="W3608" s="4"/>
      <c r="X3608" s="4"/>
      <c r="Y3608" s="4"/>
      <c r="Z3608" s="4"/>
      <c r="AA3608" s="4"/>
      <c r="AB3608" s="5"/>
    </row>
    <row r="3609" spans="1:28" x14ac:dyDescent="0.35">
      <c r="A3609" s="3"/>
      <c r="B3609" s="4"/>
      <c r="C3609" s="4"/>
      <c r="D3609" s="4"/>
      <c r="E3609" s="4"/>
      <c r="F3609" s="4"/>
      <c r="G3609" s="4"/>
      <c r="H3609" s="4"/>
      <c r="I3609" s="4"/>
      <c r="J3609" s="4"/>
      <c r="K3609" s="4"/>
      <c r="L3609" s="4"/>
      <c r="M3609" s="4"/>
      <c r="N3609" s="4"/>
      <c r="O3609" s="4"/>
      <c r="P3609" s="4"/>
      <c r="Q3609" s="4"/>
      <c r="R3609" s="4"/>
      <c r="S3609" s="4"/>
      <c r="T3609" s="4"/>
      <c r="U3609" s="4"/>
      <c r="V3609" s="4"/>
      <c r="W3609" s="4"/>
      <c r="X3609" s="4"/>
      <c r="Y3609" s="4"/>
      <c r="Z3609" s="4"/>
      <c r="AA3609" s="4"/>
      <c r="AB3609" s="5"/>
    </row>
    <row r="3610" spans="1:28" x14ac:dyDescent="0.35">
      <c r="A3610" s="3"/>
      <c r="B3610" s="4"/>
      <c r="C3610" s="4"/>
      <c r="D3610" s="4"/>
      <c r="E3610" s="4"/>
      <c r="F3610" s="4"/>
      <c r="G3610" s="4"/>
      <c r="H3610" s="4"/>
      <c r="I3610" s="4"/>
      <c r="J3610" s="4"/>
      <c r="K3610" s="4"/>
      <c r="L3610" s="4"/>
      <c r="M3610" s="4"/>
      <c r="N3610" s="4"/>
      <c r="O3610" s="4"/>
      <c r="P3610" s="4"/>
      <c r="Q3610" s="4"/>
      <c r="R3610" s="4"/>
      <c r="S3610" s="4"/>
      <c r="T3610" s="4"/>
      <c r="U3610" s="4"/>
      <c r="V3610" s="4"/>
      <c r="W3610" s="4"/>
      <c r="X3610" s="4"/>
      <c r="Y3610" s="4"/>
      <c r="Z3610" s="4"/>
      <c r="AA3610" s="4"/>
      <c r="AB3610" s="5"/>
    </row>
    <row r="3611" spans="1:28" x14ac:dyDescent="0.35">
      <c r="A3611" s="3"/>
      <c r="B3611" s="4"/>
      <c r="C3611" s="4"/>
      <c r="D3611" s="4"/>
      <c r="E3611" s="4"/>
      <c r="F3611" s="4"/>
      <c r="G3611" s="4"/>
      <c r="H3611" s="4"/>
      <c r="I3611" s="4"/>
      <c r="J3611" s="4"/>
      <c r="K3611" s="4"/>
      <c r="L3611" s="4"/>
      <c r="M3611" s="4"/>
      <c r="N3611" s="4"/>
      <c r="O3611" s="4"/>
      <c r="P3611" s="4"/>
      <c r="Q3611" s="4"/>
      <c r="R3611" s="4"/>
      <c r="S3611" s="4"/>
      <c r="T3611" s="4"/>
      <c r="U3611" s="4"/>
      <c r="V3611" s="4"/>
      <c r="W3611" s="4"/>
      <c r="X3611" s="4"/>
      <c r="Y3611" s="4"/>
      <c r="Z3611" s="4"/>
      <c r="AA3611" s="4"/>
      <c r="AB3611" s="5"/>
    </row>
    <row r="3612" spans="1:28" x14ac:dyDescent="0.35">
      <c r="A3612" s="3"/>
      <c r="B3612" s="4"/>
      <c r="C3612" s="4"/>
      <c r="D3612" s="4"/>
      <c r="E3612" s="4"/>
      <c r="F3612" s="4"/>
      <c r="G3612" s="4"/>
      <c r="H3612" s="4"/>
      <c r="I3612" s="4"/>
      <c r="J3612" s="4"/>
      <c r="K3612" s="4"/>
      <c r="L3612" s="4"/>
      <c r="M3612" s="4"/>
      <c r="N3612" s="4"/>
      <c r="O3612" s="4"/>
      <c r="P3612" s="4"/>
      <c r="Q3612" s="4"/>
      <c r="R3612" s="4"/>
      <c r="S3612" s="4"/>
      <c r="T3612" s="4"/>
      <c r="U3612" s="4"/>
      <c r="V3612" s="4"/>
      <c r="W3612" s="4"/>
      <c r="X3612" s="4"/>
      <c r="Y3612" s="4"/>
      <c r="Z3612" s="4"/>
      <c r="AA3612" s="4"/>
      <c r="AB3612" s="5"/>
    </row>
    <row r="3613" spans="1:28" x14ac:dyDescent="0.35">
      <c r="A3613" s="3"/>
      <c r="B3613" s="4"/>
      <c r="C3613" s="4"/>
      <c r="D3613" s="4"/>
      <c r="E3613" s="4"/>
      <c r="F3613" s="4"/>
      <c r="G3613" s="4"/>
      <c r="H3613" s="4"/>
      <c r="I3613" s="4"/>
      <c r="J3613" s="4"/>
      <c r="K3613" s="4"/>
      <c r="L3613" s="4"/>
      <c r="M3613" s="4"/>
      <c r="N3613" s="4"/>
      <c r="O3613" s="4"/>
      <c r="P3613" s="4"/>
      <c r="Q3613" s="4"/>
      <c r="R3613" s="4"/>
      <c r="S3613" s="4"/>
      <c r="T3613" s="4"/>
      <c r="U3613" s="4"/>
      <c r="V3613" s="4"/>
      <c r="W3613" s="4"/>
      <c r="X3613" s="4"/>
      <c r="Y3613" s="4"/>
      <c r="Z3613" s="4"/>
      <c r="AA3613" s="4"/>
      <c r="AB3613" s="5"/>
    </row>
    <row r="3614" spans="1:28" x14ac:dyDescent="0.35">
      <c r="A3614" s="3"/>
      <c r="B3614" s="4"/>
      <c r="C3614" s="4"/>
      <c r="D3614" s="4"/>
      <c r="E3614" s="4"/>
      <c r="F3614" s="4"/>
      <c r="G3614" s="4"/>
      <c r="H3614" s="4"/>
      <c r="I3614" s="4"/>
      <c r="J3614" s="4"/>
      <c r="K3614" s="4"/>
      <c r="L3614" s="4"/>
      <c r="M3614" s="4"/>
      <c r="N3614" s="4"/>
      <c r="O3614" s="4"/>
      <c r="P3614" s="4"/>
      <c r="Q3614" s="4"/>
      <c r="R3614" s="4"/>
      <c r="S3614" s="4"/>
      <c r="T3614" s="4"/>
      <c r="U3614" s="4"/>
      <c r="V3614" s="4"/>
      <c r="W3614" s="4"/>
      <c r="X3614" s="4"/>
      <c r="Y3614" s="4"/>
      <c r="Z3614" s="4"/>
      <c r="AA3614" s="4"/>
      <c r="AB3614" s="5"/>
    </row>
    <row r="3615" spans="1:28" x14ac:dyDescent="0.35">
      <c r="A3615" s="3"/>
      <c r="B3615" s="4"/>
      <c r="C3615" s="4"/>
      <c r="D3615" s="4"/>
      <c r="E3615" s="4"/>
      <c r="F3615" s="4"/>
      <c r="G3615" s="4"/>
      <c r="H3615" s="4"/>
      <c r="I3615" s="4"/>
      <c r="J3615" s="4"/>
      <c r="K3615" s="4"/>
      <c r="L3615" s="4"/>
      <c r="M3615" s="4"/>
      <c r="N3615" s="4"/>
      <c r="O3615" s="4"/>
      <c r="P3615" s="4"/>
      <c r="Q3615" s="4"/>
      <c r="R3615" s="4"/>
      <c r="S3615" s="4"/>
      <c r="T3615" s="4"/>
      <c r="U3615" s="4"/>
      <c r="V3615" s="4"/>
      <c r="W3615" s="4"/>
      <c r="X3615" s="4"/>
      <c r="Y3615" s="4"/>
      <c r="Z3615" s="4"/>
      <c r="AA3615" s="4"/>
      <c r="AB3615" s="5"/>
    </row>
    <row r="3616" spans="1:28" x14ac:dyDescent="0.35">
      <c r="A3616" s="3"/>
      <c r="B3616" s="4"/>
      <c r="C3616" s="4"/>
      <c r="D3616" s="4"/>
      <c r="E3616" s="4"/>
      <c r="F3616" s="4"/>
      <c r="G3616" s="4"/>
      <c r="H3616" s="4"/>
      <c r="I3616" s="4"/>
      <c r="J3616" s="4"/>
      <c r="K3616" s="4"/>
      <c r="L3616" s="4"/>
      <c r="M3616" s="4"/>
      <c r="N3616" s="4"/>
      <c r="O3616" s="4"/>
      <c r="P3616" s="4"/>
      <c r="Q3616" s="4"/>
      <c r="R3616" s="4"/>
      <c r="S3616" s="4"/>
      <c r="T3616" s="4"/>
      <c r="U3616" s="4"/>
      <c r="V3616" s="4"/>
      <c r="W3616" s="4"/>
      <c r="X3616" s="4"/>
      <c r="Y3616" s="4"/>
      <c r="Z3616" s="4"/>
      <c r="AA3616" s="4"/>
      <c r="AB3616" s="5"/>
    </row>
    <row r="3617" spans="1:28" x14ac:dyDescent="0.35">
      <c r="A3617" s="3"/>
      <c r="B3617" s="4"/>
      <c r="C3617" s="4"/>
      <c r="D3617" s="4"/>
      <c r="E3617" s="4"/>
      <c r="F3617" s="4"/>
      <c r="G3617" s="4"/>
      <c r="H3617" s="4"/>
      <c r="I3617" s="4"/>
      <c r="J3617" s="4"/>
      <c r="K3617" s="4"/>
      <c r="L3617" s="4"/>
      <c r="M3617" s="4"/>
      <c r="N3617" s="4"/>
      <c r="O3617" s="4"/>
      <c r="P3617" s="4"/>
      <c r="Q3617" s="4"/>
      <c r="R3617" s="4"/>
      <c r="S3617" s="4"/>
      <c r="T3617" s="4"/>
      <c r="U3617" s="4"/>
      <c r="V3617" s="4"/>
      <c r="W3617" s="4"/>
      <c r="X3617" s="4"/>
      <c r="Y3617" s="4"/>
      <c r="Z3617" s="4"/>
      <c r="AA3617" s="4"/>
      <c r="AB3617" s="5"/>
    </row>
    <row r="3618" spans="1:28" x14ac:dyDescent="0.35">
      <c r="A3618" s="3"/>
      <c r="B3618" s="4"/>
      <c r="C3618" s="4"/>
      <c r="D3618" s="4"/>
      <c r="E3618" s="4"/>
      <c r="F3618" s="4"/>
      <c r="G3618" s="4"/>
      <c r="H3618" s="4"/>
      <c r="I3618" s="4"/>
      <c r="J3618" s="4"/>
      <c r="K3618" s="4"/>
      <c r="L3618" s="4"/>
      <c r="M3618" s="4"/>
      <c r="N3618" s="4"/>
      <c r="O3618" s="4"/>
      <c r="P3618" s="4"/>
      <c r="Q3618" s="4"/>
      <c r="R3618" s="4"/>
      <c r="S3618" s="4"/>
      <c r="T3618" s="4"/>
      <c r="U3618" s="4"/>
      <c r="V3618" s="4"/>
      <c r="W3618" s="4"/>
      <c r="X3618" s="4"/>
      <c r="Y3618" s="4"/>
      <c r="Z3618" s="4"/>
      <c r="AA3618" s="4"/>
      <c r="AB3618" s="5"/>
    </row>
    <row r="3619" spans="1:28" x14ac:dyDescent="0.35">
      <c r="A3619" s="3"/>
      <c r="B3619" s="4"/>
      <c r="C3619" s="4"/>
      <c r="D3619" s="4"/>
      <c r="E3619" s="4"/>
      <c r="F3619" s="4"/>
      <c r="G3619" s="4"/>
      <c r="H3619" s="4"/>
      <c r="I3619" s="4"/>
      <c r="J3619" s="4"/>
      <c r="K3619" s="4"/>
      <c r="L3619" s="4"/>
      <c r="M3619" s="4"/>
      <c r="N3619" s="4"/>
      <c r="O3619" s="4"/>
      <c r="P3619" s="4"/>
      <c r="Q3619" s="4"/>
      <c r="R3619" s="4"/>
      <c r="S3619" s="4"/>
      <c r="T3619" s="4"/>
      <c r="U3619" s="4"/>
      <c r="V3619" s="4"/>
      <c r="W3619" s="4"/>
      <c r="X3619" s="4"/>
      <c r="Y3619" s="4"/>
      <c r="Z3619" s="4"/>
      <c r="AA3619" s="4"/>
      <c r="AB3619" s="5"/>
    </row>
    <row r="3620" spans="1:28" x14ac:dyDescent="0.35">
      <c r="A3620" s="3"/>
      <c r="B3620" s="4"/>
      <c r="C3620" s="4"/>
      <c r="D3620" s="4"/>
      <c r="E3620" s="4"/>
      <c r="F3620" s="4"/>
      <c r="G3620" s="4"/>
      <c r="H3620" s="4"/>
      <c r="I3620" s="4"/>
      <c r="J3620" s="4"/>
      <c r="K3620" s="4"/>
      <c r="L3620" s="4"/>
      <c r="M3620" s="4"/>
      <c r="N3620" s="4"/>
      <c r="O3620" s="4"/>
      <c r="P3620" s="4"/>
      <c r="Q3620" s="4"/>
      <c r="R3620" s="4"/>
      <c r="S3620" s="4"/>
      <c r="T3620" s="4"/>
      <c r="U3620" s="4"/>
      <c r="V3620" s="4"/>
      <c r="W3620" s="4"/>
      <c r="X3620" s="4"/>
      <c r="Y3620" s="4"/>
      <c r="Z3620" s="4"/>
      <c r="AA3620" s="4"/>
      <c r="AB3620" s="5"/>
    </row>
    <row r="3621" spans="1:28" x14ac:dyDescent="0.35">
      <c r="A3621" s="3"/>
      <c r="B3621" s="4"/>
      <c r="C3621" s="4"/>
      <c r="D3621" s="4"/>
      <c r="E3621" s="4"/>
      <c r="F3621" s="4"/>
      <c r="G3621" s="4"/>
      <c r="H3621" s="4"/>
      <c r="I3621" s="4"/>
      <c r="J3621" s="4"/>
      <c r="K3621" s="4"/>
      <c r="L3621" s="4"/>
      <c r="M3621" s="4"/>
      <c r="N3621" s="4"/>
      <c r="O3621" s="4"/>
      <c r="P3621" s="4"/>
      <c r="Q3621" s="4"/>
      <c r="R3621" s="4"/>
      <c r="S3621" s="4"/>
      <c r="T3621" s="4"/>
      <c r="U3621" s="4"/>
      <c r="V3621" s="4"/>
      <c r="W3621" s="4"/>
      <c r="X3621" s="4"/>
      <c r="Y3621" s="4"/>
      <c r="Z3621" s="4"/>
      <c r="AA3621" s="4"/>
      <c r="AB3621" s="5"/>
    </row>
    <row r="3622" spans="1:28" x14ac:dyDescent="0.35">
      <c r="A3622" s="3"/>
      <c r="B3622" s="4"/>
      <c r="C3622" s="4"/>
      <c r="D3622" s="4"/>
      <c r="E3622" s="4"/>
      <c r="F3622" s="4"/>
      <c r="G3622" s="4"/>
      <c r="H3622" s="4"/>
      <c r="I3622" s="4"/>
      <c r="J3622" s="4"/>
      <c r="K3622" s="4"/>
      <c r="L3622" s="4"/>
      <c r="M3622" s="4"/>
      <c r="N3622" s="4"/>
      <c r="O3622" s="4"/>
      <c r="P3622" s="4"/>
      <c r="Q3622" s="4"/>
      <c r="R3622" s="4"/>
      <c r="S3622" s="4"/>
      <c r="T3622" s="4"/>
      <c r="U3622" s="4"/>
      <c r="V3622" s="4"/>
      <c r="W3622" s="4"/>
      <c r="X3622" s="4"/>
      <c r="Y3622" s="4"/>
      <c r="Z3622" s="4"/>
      <c r="AA3622" s="4"/>
      <c r="AB3622" s="5"/>
    </row>
    <row r="3623" spans="1:28" x14ac:dyDescent="0.35">
      <c r="A3623" s="3"/>
      <c r="B3623" s="4"/>
      <c r="C3623" s="4"/>
      <c r="D3623" s="4"/>
      <c r="E3623" s="4"/>
      <c r="F3623" s="4"/>
      <c r="G3623" s="4"/>
      <c r="H3623" s="4"/>
      <c r="I3623" s="4"/>
      <c r="J3623" s="4"/>
      <c r="K3623" s="4"/>
      <c r="L3623" s="4"/>
      <c r="M3623" s="4"/>
      <c r="N3623" s="4"/>
      <c r="O3623" s="4"/>
      <c r="P3623" s="4"/>
      <c r="Q3623" s="4"/>
      <c r="R3623" s="4"/>
      <c r="S3623" s="4"/>
      <c r="T3623" s="4"/>
      <c r="U3623" s="4"/>
      <c r="V3623" s="4"/>
      <c r="W3623" s="4"/>
      <c r="X3623" s="4"/>
      <c r="Y3623" s="4"/>
      <c r="Z3623" s="4"/>
      <c r="AA3623" s="4"/>
      <c r="AB3623" s="5"/>
    </row>
    <row r="3624" spans="1:28" x14ac:dyDescent="0.35">
      <c r="A3624" s="3"/>
      <c r="B3624" s="4"/>
      <c r="C3624" s="4"/>
      <c r="D3624" s="4"/>
      <c r="E3624" s="4"/>
      <c r="F3624" s="4"/>
      <c r="G3624" s="4"/>
      <c r="H3624" s="4"/>
      <c r="I3624" s="4"/>
      <c r="J3624" s="4"/>
      <c r="K3624" s="4"/>
      <c r="L3624" s="4"/>
      <c r="M3624" s="4"/>
      <c r="N3624" s="4"/>
      <c r="O3624" s="4"/>
      <c r="P3624" s="4"/>
      <c r="Q3624" s="4"/>
      <c r="R3624" s="4"/>
      <c r="S3624" s="4"/>
      <c r="T3624" s="4"/>
      <c r="U3624" s="4"/>
      <c r="V3624" s="4"/>
      <c r="W3624" s="4"/>
      <c r="X3624" s="4"/>
      <c r="Y3624" s="4"/>
      <c r="Z3624" s="4"/>
      <c r="AA3624" s="4"/>
      <c r="AB3624" s="5"/>
    </row>
    <row r="3625" spans="1:28" x14ac:dyDescent="0.35">
      <c r="A3625" s="3"/>
      <c r="B3625" s="4"/>
      <c r="C3625" s="4"/>
      <c r="D3625" s="4"/>
      <c r="E3625" s="4"/>
      <c r="F3625" s="4"/>
      <c r="G3625" s="4"/>
      <c r="H3625" s="4"/>
      <c r="I3625" s="4"/>
      <c r="J3625" s="4"/>
      <c r="K3625" s="4"/>
      <c r="L3625" s="4"/>
      <c r="M3625" s="4"/>
      <c r="N3625" s="4"/>
      <c r="O3625" s="4"/>
      <c r="P3625" s="4"/>
      <c r="Q3625" s="4"/>
      <c r="R3625" s="4"/>
      <c r="S3625" s="4"/>
      <c r="T3625" s="4"/>
      <c r="U3625" s="4"/>
      <c r="V3625" s="4"/>
      <c r="W3625" s="4"/>
      <c r="X3625" s="4"/>
      <c r="Y3625" s="4"/>
      <c r="Z3625" s="4"/>
      <c r="AA3625" s="4"/>
      <c r="AB3625" s="5"/>
    </row>
    <row r="3626" spans="1:28" x14ac:dyDescent="0.35">
      <c r="A3626" s="3"/>
      <c r="B3626" s="4"/>
      <c r="C3626" s="4"/>
      <c r="D3626" s="4"/>
      <c r="E3626" s="4"/>
      <c r="F3626" s="4"/>
      <c r="G3626" s="4"/>
      <c r="H3626" s="4"/>
      <c r="I3626" s="4"/>
      <c r="J3626" s="4"/>
      <c r="K3626" s="4"/>
      <c r="L3626" s="4"/>
      <c r="M3626" s="4"/>
      <c r="N3626" s="4"/>
      <c r="O3626" s="4"/>
      <c r="P3626" s="4"/>
      <c r="Q3626" s="4"/>
      <c r="R3626" s="4"/>
      <c r="S3626" s="4"/>
      <c r="T3626" s="4"/>
      <c r="U3626" s="4"/>
      <c r="V3626" s="4"/>
      <c r="W3626" s="4"/>
      <c r="X3626" s="4"/>
      <c r="Y3626" s="4"/>
      <c r="Z3626" s="4"/>
      <c r="AA3626" s="4"/>
      <c r="AB3626" s="5"/>
    </row>
    <row r="3627" spans="1:28" x14ac:dyDescent="0.35">
      <c r="A3627" s="3"/>
      <c r="B3627" s="4"/>
      <c r="C3627" s="4"/>
      <c r="D3627" s="4"/>
      <c r="E3627" s="4"/>
      <c r="F3627" s="4"/>
      <c r="G3627" s="4"/>
      <c r="H3627" s="4"/>
      <c r="I3627" s="4"/>
      <c r="J3627" s="4"/>
      <c r="K3627" s="4"/>
      <c r="L3627" s="4"/>
      <c r="M3627" s="4"/>
      <c r="N3627" s="4"/>
      <c r="O3627" s="4"/>
      <c r="P3627" s="4"/>
      <c r="Q3627" s="4"/>
      <c r="R3627" s="4"/>
      <c r="S3627" s="4"/>
      <c r="T3627" s="4"/>
      <c r="U3627" s="4"/>
      <c r="V3627" s="4"/>
      <c r="W3627" s="4"/>
      <c r="X3627" s="4"/>
      <c r="Y3627" s="4"/>
      <c r="Z3627" s="4"/>
      <c r="AA3627" s="4"/>
      <c r="AB3627" s="5"/>
    </row>
    <row r="3628" spans="1:28" x14ac:dyDescent="0.35">
      <c r="A3628" s="3"/>
      <c r="B3628" s="4"/>
      <c r="C3628" s="4"/>
      <c r="D3628" s="4"/>
      <c r="E3628" s="4"/>
      <c r="F3628" s="4"/>
      <c r="G3628" s="4"/>
      <c r="H3628" s="4"/>
      <c r="I3628" s="4"/>
      <c r="J3628" s="4"/>
      <c r="K3628" s="4"/>
      <c r="L3628" s="4"/>
      <c r="M3628" s="4"/>
      <c r="N3628" s="4"/>
      <c r="O3628" s="4"/>
      <c r="P3628" s="4"/>
      <c r="Q3628" s="4"/>
      <c r="R3628" s="4"/>
      <c r="S3628" s="4"/>
      <c r="T3628" s="4"/>
      <c r="U3628" s="4"/>
      <c r="V3628" s="4"/>
      <c r="W3628" s="4"/>
      <c r="X3628" s="4"/>
      <c r="Y3628" s="4"/>
      <c r="Z3628" s="4"/>
      <c r="AA3628" s="4"/>
      <c r="AB3628" s="5"/>
    </row>
    <row r="3629" spans="1:28" x14ac:dyDescent="0.35">
      <c r="A3629" s="3"/>
      <c r="B3629" s="4"/>
      <c r="C3629" s="4"/>
      <c r="D3629" s="4"/>
      <c r="E3629" s="4"/>
      <c r="F3629" s="4"/>
      <c r="G3629" s="4"/>
      <c r="H3629" s="4"/>
      <c r="I3629" s="4"/>
      <c r="J3629" s="4"/>
      <c r="K3629" s="4"/>
      <c r="L3629" s="4"/>
      <c r="M3629" s="4"/>
      <c r="N3629" s="4"/>
      <c r="O3629" s="4"/>
      <c r="P3629" s="4"/>
      <c r="Q3629" s="4"/>
      <c r="R3629" s="4"/>
      <c r="S3629" s="4"/>
      <c r="T3629" s="4"/>
      <c r="U3629" s="4"/>
      <c r="V3629" s="4"/>
      <c r="W3629" s="4"/>
      <c r="X3629" s="4"/>
      <c r="Y3629" s="4"/>
      <c r="Z3629" s="4"/>
      <c r="AA3629" s="4"/>
      <c r="AB3629" s="5"/>
    </row>
    <row r="3630" spans="1:28" x14ac:dyDescent="0.35">
      <c r="A3630" s="3"/>
      <c r="B3630" s="4"/>
      <c r="C3630" s="4"/>
      <c r="D3630" s="4"/>
      <c r="E3630" s="4"/>
      <c r="F3630" s="4"/>
      <c r="G3630" s="4"/>
      <c r="H3630" s="4"/>
      <c r="I3630" s="4"/>
      <c r="J3630" s="4"/>
      <c r="K3630" s="4"/>
      <c r="L3630" s="4"/>
      <c r="M3630" s="4"/>
      <c r="N3630" s="4"/>
      <c r="O3630" s="4"/>
      <c r="P3630" s="4"/>
      <c r="Q3630" s="4"/>
      <c r="R3630" s="4"/>
      <c r="S3630" s="4"/>
      <c r="T3630" s="4"/>
      <c r="U3630" s="4"/>
      <c r="V3630" s="4"/>
      <c r="W3630" s="4"/>
      <c r="X3630" s="4"/>
      <c r="Y3630" s="4"/>
      <c r="Z3630" s="4"/>
      <c r="AA3630" s="4"/>
      <c r="AB3630" s="5"/>
    </row>
    <row r="3631" spans="1:28" x14ac:dyDescent="0.35">
      <c r="A3631" s="3"/>
      <c r="B3631" s="4"/>
      <c r="C3631" s="4"/>
      <c r="D3631" s="4"/>
      <c r="E3631" s="4"/>
      <c r="F3631" s="4"/>
      <c r="G3631" s="4"/>
      <c r="H3631" s="4"/>
      <c r="I3631" s="4"/>
      <c r="J3631" s="4"/>
      <c r="K3631" s="4"/>
      <c r="L3631" s="4"/>
      <c r="M3631" s="4"/>
      <c r="N3631" s="4"/>
      <c r="O3631" s="4"/>
      <c r="P3631" s="4"/>
      <c r="Q3631" s="4"/>
      <c r="R3631" s="4"/>
      <c r="S3631" s="4"/>
      <c r="T3631" s="4"/>
      <c r="U3631" s="4"/>
      <c r="V3631" s="4"/>
      <c r="W3631" s="4"/>
      <c r="X3631" s="4"/>
      <c r="Y3631" s="4"/>
      <c r="Z3631" s="4"/>
      <c r="AA3631" s="4"/>
      <c r="AB3631" s="5"/>
    </row>
    <row r="3632" spans="1:28" x14ac:dyDescent="0.35">
      <c r="A3632" s="3"/>
      <c r="B3632" s="4"/>
      <c r="C3632" s="4"/>
      <c r="D3632" s="4"/>
      <c r="E3632" s="4"/>
      <c r="F3632" s="4"/>
      <c r="G3632" s="4"/>
      <c r="H3632" s="4"/>
      <c r="I3632" s="4"/>
      <c r="J3632" s="4"/>
      <c r="K3632" s="4"/>
      <c r="L3632" s="4"/>
      <c r="M3632" s="4"/>
      <c r="N3632" s="4"/>
      <c r="O3632" s="4"/>
      <c r="P3632" s="4"/>
      <c r="Q3632" s="4"/>
      <c r="R3632" s="4"/>
      <c r="S3632" s="4"/>
      <c r="T3632" s="4"/>
      <c r="U3632" s="4"/>
      <c r="V3632" s="4"/>
      <c r="W3632" s="4"/>
      <c r="X3632" s="4"/>
      <c r="Y3632" s="4"/>
      <c r="Z3632" s="4"/>
      <c r="AA3632" s="4"/>
      <c r="AB3632" s="5"/>
    </row>
    <row r="3633" spans="1:28" x14ac:dyDescent="0.35">
      <c r="A3633" s="3"/>
      <c r="B3633" s="4"/>
      <c r="C3633" s="4"/>
      <c r="D3633" s="4"/>
      <c r="E3633" s="4"/>
      <c r="F3633" s="4"/>
      <c r="G3633" s="4"/>
      <c r="H3633" s="4"/>
      <c r="I3633" s="4"/>
      <c r="J3633" s="4"/>
      <c r="K3633" s="4"/>
      <c r="L3633" s="4"/>
      <c r="M3633" s="4"/>
      <c r="N3633" s="4"/>
      <c r="O3633" s="4"/>
      <c r="P3633" s="4"/>
      <c r="Q3633" s="4"/>
      <c r="R3633" s="4"/>
      <c r="S3633" s="4"/>
      <c r="T3633" s="4"/>
      <c r="U3633" s="4"/>
      <c r="V3633" s="4"/>
      <c r="W3633" s="4"/>
      <c r="X3633" s="4"/>
      <c r="Y3633" s="4"/>
      <c r="Z3633" s="4"/>
      <c r="AA3633" s="4"/>
      <c r="AB3633" s="5"/>
    </row>
    <row r="3634" spans="1:28" x14ac:dyDescent="0.35">
      <c r="A3634" s="3"/>
      <c r="B3634" s="4"/>
      <c r="C3634" s="4"/>
      <c r="D3634" s="4"/>
      <c r="E3634" s="4"/>
      <c r="F3634" s="4"/>
      <c r="G3634" s="4"/>
      <c r="H3634" s="4"/>
      <c r="I3634" s="4"/>
      <c r="J3634" s="4"/>
      <c r="K3634" s="4"/>
      <c r="L3634" s="4"/>
      <c r="M3634" s="4"/>
      <c r="N3634" s="4"/>
      <c r="O3634" s="4"/>
      <c r="P3634" s="4"/>
      <c r="Q3634" s="4"/>
      <c r="R3634" s="4"/>
      <c r="S3634" s="4"/>
      <c r="T3634" s="4"/>
      <c r="U3634" s="4"/>
      <c r="V3634" s="4"/>
      <c r="W3634" s="4"/>
      <c r="X3634" s="4"/>
      <c r="Y3634" s="4"/>
      <c r="Z3634" s="4"/>
      <c r="AA3634" s="4"/>
      <c r="AB3634" s="5"/>
    </row>
    <row r="3635" spans="1:28" x14ac:dyDescent="0.35">
      <c r="A3635" s="3"/>
      <c r="B3635" s="4"/>
      <c r="C3635" s="4"/>
      <c r="D3635" s="4"/>
      <c r="E3635" s="4"/>
      <c r="F3635" s="4"/>
      <c r="G3635" s="4"/>
      <c r="H3635" s="4"/>
      <c r="I3635" s="4"/>
      <c r="J3635" s="4"/>
      <c r="K3635" s="4"/>
      <c r="L3635" s="4"/>
      <c r="M3635" s="4"/>
      <c r="N3635" s="4"/>
      <c r="O3635" s="4"/>
      <c r="P3635" s="4"/>
      <c r="Q3635" s="4"/>
      <c r="R3635" s="4"/>
      <c r="S3635" s="4"/>
      <c r="T3635" s="4"/>
      <c r="U3635" s="4"/>
      <c r="V3635" s="4"/>
      <c r="W3635" s="4"/>
      <c r="X3635" s="4"/>
      <c r="Y3635" s="4"/>
      <c r="Z3635" s="4"/>
      <c r="AA3635" s="4"/>
      <c r="AB3635" s="5"/>
    </row>
    <row r="3636" spans="1:28" x14ac:dyDescent="0.35">
      <c r="A3636" s="3"/>
      <c r="B3636" s="4"/>
      <c r="C3636" s="4"/>
      <c r="D3636" s="4"/>
      <c r="E3636" s="4"/>
      <c r="F3636" s="4"/>
      <c r="G3636" s="4"/>
      <c r="H3636" s="4"/>
      <c r="I3636" s="4"/>
      <c r="J3636" s="4"/>
      <c r="K3636" s="4"/>
      <c r="L3636" s="4"/>
      <c r="M3636" s="4"/>
      <c r="N3636" s="4"/>
      <c r="O3636" s="4"/>
      <c r="P3636" s="4"/>
      <c r="Q3636" s="4"/>
      <c r="R3636" s="4"/>
      <c r="S3636" s="4"/>
      <c r="T3636" s="4"/>
      <c r="U3636" s="4"/>
      <c r="V3636" s="4"/>
      <c r="W3636" s="4"/>
      <c r="X3636" s="4"/>
      <c r="Y3636" s="4"/>
      <c r="Z3636" s="4"/>
      <c r="AA3636" s="4"/>
      <c r="AB3636" s="5"/>
    </row>
    <row r="3637" spans="1:28" x14ac:dyDescent="0.35">
      <c r="A3637" s="3"/>
      <c r="B3637" s="4"/>
      <c r="C3637" s="4"/>
      <c r="D3637" s="4"/>
      <c r="E3637" s="4"/>
      <c r="F3637" s="4"/>
      <c r="G3637" s="4"/>
      <c r="H3637" s="4"/>
      <c r="I3637" s="4"/>
      <c r="J3637" s="4"/>
      <c r="K3637" s="4"/>
      <c r="L3637" s="4"/>
      <c r="M3637" s="4"/>
      <c r="N3637" s="4"/>
      <c r="O3637" s="4"/>
      <c r="P3637" s="4"/>
      <c r="Q3637" s="4"/>
      <c r="R3637" s="4"/>
      <c r="S3637" s="4"/>
      <c r="T3637" s="4"/>
      <c r="U3637" s="4"/>
      <c r="V3637" s="4"/>
      <c r="W3637" s="4"/>
      <c r="X3637" s="4"/>
      <c r="Y3637" s="4"/>
      <c r="Z3637" s="4"/>
      <c r="AA3637" s="4"/>
      <c r="AB3637" s="5"/>
    </row>
    <row r="3638" spans="1:28" x14ac:dyDescent="0.35">
      <c r="A3638" s="3"/>
      <c r="B3638" s="4"/>
      <c r="C3638" s="4"/>
      <c r="D3638" s="4"/>
      <c r="E3638" s="4"/>
      <c r="F3638" s="4"/>
      <c r="G3638" s="4"/>
      <c r="H3638" s="4"/>
      <c r="I3638" s="4"/>
      <c r="J3638" s="4"/>
      <c r="K3638" s="4"/>
      <c r="L3638" s="4"/>
      <c r="M3638" s="4"/>
      <c r="N3638" s="4"/>
      <c r="O3638" s="4"/>
      <c r="P3638" s="4"/>
      <c r="Q3638" s="4"/>
      <c r="R3638" s="4"/>
      <c r="S3638" s="4"/>
      <c r="T3638" s="4"/>
      <c r="U3638" s="4"/>
      <c r="V3638" s="4"/>
      <c r="W3638" s="4"/>
      <c r="X3638" s="4"/>
      <c r="Y3638" s="4"/>
      <c r="Z3638" s="4"/>
      <c r="AA3638" s="4"/>
      <c r="AB3638" s="5"/>
    </row>
    <row r="3639" spans="1:28" x14ac:dyDescent="0.35">
      <c r="A3639" s="3"/>
      <c r="B3639" s="4"/>
      <c r="C3639" s="4"/>
      <c r="D3639" s="4"/>
      <c r="E3639" s="4"/>
      <c r="F3639" s="4"/>
      <c r="G3639" s="4"/>
      <c r="H3639" s="4"/>
      <c r="I3639" s="4"/>
      <c r="J3639" s="4"/>
      <c r="K3639" s="4"/>
      <c r="L3639" s="4"/>
      <c r="M3639" s="4"/>
      <c r="N3639" s="4"/>
      <c r="O3639" s="4"/>
      <c r="P3639" s="4"/>
      <c r="Q3639" s="4"/>
      <c r="R3639" s="4"/>
      <c r="S3639" s="4"/>
      <c r="T3639" s="4"/>
      <c r="U3639" s="4"/>
      <c r="V3639" s="4"/>
      <c r="W3639" s="4"/>
      <c r="X3639" s="4"/>
      <c r="Y3639" s="4"/>
      <c r="Z3639" s="4"/>
      <c r="AA3639" s="4"/>
      <c r="AB3639" s="5"/>
    </row>
    <row r="3640" spans="1:28" x14ac:dyDescent="0.35">
      <c r="A3640" s="3"/>
      <c r="B3640" s="4"/>
      <c r="C3640" s="4"/>
      <c r="D3640" s="4"/>
      <c r="E3640" s="4"/>
      <c r="F3640" s="4"/>
      <c r="G3640" s="4"/>
      <c r="H3640" s="4"/>
      <c r="I3640" s="4"/>
      <c r="J3640" s="4"/>
      <c r="K3640" s="4"/>
      <c r="L3640" s="4"/>
      <c r="M3640" s="4"/>
      <c r="N3640" s="4"/>
      <c r="O3640" s="4"/>
      <c r="P3640" s="4"/>
      <c r="Q3640" s="4"/>
      <c r="R3640" s="4"/>
      <c r="S3640" s="4"/>
      <c r="T3640" s="4"/>
      <c r="U3640" s="4"/>
      <c r="V3640" s="4"/>
      <c r="W3640" s="4"/>
      <c r="X3640" s="4"/>
      <c r="Y3640" s="4"/>
      <c r="Z3640" s="4"/>
      <c r="AA3640" s="4"/>
      <c r="AB3640" s="5"/>
    </row>
    <row r="3641" spans="1:28" x14ac:dyDescent="0.35">
      <c r="A3641" s="3"/>
      <c r="B3641" s="4"/>
      <c r="C3641" s="4"/>
      <c r="D3641" s="4"/>
      <c r="E3641" s="4"/>
      <c r="F3641" s="4"/>
      <c r="G3641" s="4"/>
      <c r="H3641" s="4"/>
      <c r="I3641" s="4"/>
      <c r="J3641" s="4"/>
      <c r="K3641" s="4"/>
      <c r="L3641" s="4"/>
      <c r="M3641" s="4"/>
      <c r="N3641" s="4"/>
      <c r="O3641" s="4"/>
      <c r="P3641" s="4"/>
      <c r="Q3641" s="4"/>
      <c r="R3641" s="4"/>
      <c r="S3641" s="4"/>
      <c r="T3641" s="4"/>
      <c r="U3641" s="4"/>
      <c r="V3641" s="4"/>
      <c r="W3641" s="4"/>
      <c r="X3641" s="4"/>
      <c r="Y3641" s="4"/>
      <c r="Z3641" s="4"/>
      <c r="AA3641" s="4"/>
      <c r="AB3641" s="5"/>
    </row>
    <row r="3642" spans="1:28" x14ac:dyDescent="0.35">
      <c r="A3642" s="3"/>
      <c r="B3642" s="4"/>
      <c r="C3642" s="4"/>
      <c r="D3642" s="4"/>
      <c r="E3642" s="4"/>
      <c r="F3642" s="4"/>
      <c r="G3642" s="4"/>
      <c r="H3642" s="4"/>
      <c r="I3642" s="4"/>
      <c r="J3642" s="4"/>
      <c r="K3642" s="4"/>
      <c r="L3642" s="4"/>
      <c r="M3642" s="4"/>
      <c r="N3642" s="4"/>
      <c r="O3642" s="4"/>
      <c r="P3642" s="4"/>
      <c r="Q3642" s="4"/>
      <c r="R3642" s="4"/>
      <c r="S3642" s="4"/>
      <c r="T3642" s="4"/>
      <c r="U3642" s="4"/>
      <c r="V3642" s="4"/>
      <c r="W3642" s="4"/>
      <c r="X3642" s="4"/>
      <c r="Y3642" s="4"/>
      <c r="Z3642" s="4"/>
      <c r="AA3642" s="4"/>
      <c r="AB3642" s="5"/>
    </row>
    <row r="3643" spans="1:28" x14ac:dyDescent="0.35">
      <c r="A3643" s="3"/>
      <c r="B3643" s="4"/>
      <c r="C3643" s="4"/>
      <c r="D3643" s="4"/>
      <c r="E3643" s="4"/>
      <c r="F3643" s="4"/>
      <c r="G3643" s="4"/>
      <c r="H3643" s="4"/>
      <c r="I3643" s="4"/>
      <c r="J3643" s="4"/>
      <c r="K3643" s="4"/>
      <c r="L3643" s="4"/>
      <c r="M3643" s="4"/>
      <c r="N3643" s="4"/>
      <c r="O3643" s="4"/>
      <c r="P3643" s="4"/>
      <c r="Q3643" s="4"/>
      <c r="R3643" s="4"/>
      <c r="S3643" s="4"/>
      <c r="T3643" s="4"/>
      <c r="U3643" s="4"/>
      <c r="V3643" s="4"/>
      <c r="W3643" s="4"/>
      <c r="X3643" s="4"/>
      <c r="Y3643" s="4"/>
      <c r="Z3643" s="4"/>
      <c r="AA3643" s="4"/>
      <c r="AB3643" s="5"/>
    </row>
    <row r="3644" spans="1:28" x14ac:dyDescent="0.35">
      <c r="A3644" s="3"/>
      <c r="B3644" s="4"/>
      <c r="C3644" s="4"/>
      <c r="D3644" s="4"/>
      <c r="E3644" s="4"/>
      <c r="F3644" s="4"/>
      <c r="G3644" s="4"/>
      <c r="H3644" s="4"/>
      <c r="I3644" s="4"/>
      <c r="J3644" s="4"/>
      <c r="K3644" s="4"/>
      <c r="L3644" s="4"/>
      <c r="M3644" s="4"/>
      <c r="N3644" s="4"/>
      <c r="O3644" s="4"/>
      <c r="P3644" s="4"/>
      <c r="Q3644" s="4"/>
      <c r="R3644" s="4"/>
      <c r="S3644" s="4"/>
      <c r="T3644" s="4"/>
      <c r="U3644" s="4"/>
      <c r="V3644" s="4"/>
      <c r="W3644" s="4"/>
      <c r="X3644" s="4"/>
      <c r="Y3644" s="4"/>
      <c r="Z3644" s="4"/>
      <c r="AA3644" s="4"/>
      <c r="AB3644" s="5"/>
    </row>
    <row r="3645" spans="1:28" x14ac:dyDescent="0.35">
      <c r="A3645" s="3"/>
      <c r="B3645" s="4"/>
      <c r="C3645" s="4"/>
      <c r="D3645" s="4"/>
      <c r="E3645" s="4"/>
      <c r="F3645" s="4"/>
      <c r="G3645" s="4"/>
      <c r="H3645" s="4"/>
      <c r="I3645" s="4"/>
      <c r="J3645" s="4"/>
      <c r="K3645" s="4"/>
      <c r="L3645" s="4"/>
      <c r="M3645" s="4"/>
      <c r="N3645" s="4"/>
      <c r="O3645" s="4"/>
      <c r="P3645" s="4"/>
      <c r="Q3645" s="4"/>
      <c r="R3645" s="4"/>
      <c r="S3645" s="4"/>
      <c r="T3645" s="4"/>
      <c r="U3645" s="4"/>
      <c r="V3645" s="4"/>
      <c r="W3645" s="4"/>
      <c r="X3645" s="4"/>
      <c r="Y3645" s="4"/>
      <c r="Z3645" s="4"/>
      <c r="AA3645" s="4"/>
      <c r="AB3645" s="5"/>
    </row>
    <row r="3646" spans="1:28" x14ac:dyDescent="0.35">
      <c r="A3646" s="3"/>
      <c r="B3646" s="4"/>
      <c r="C3646" s="4"/>
      <c r="D3646" s="4"/>
      <c r="E3646" s="4"/>
      <c r="F3646" s="4"/>
      <c r="G3646" s="4"/>
      <c r="H3646" s="4"/>
      <c r="I3646" s="4"/>
      <c r="J3646" s="4"/>
      <c r="K3646" s="4"/>
      <c r="L3646" s="4"/>
      <c r="M3646" s="4"/>
      <c r="N3646" s="4"/>
      <c r="O3646" s="4"/>
      <c r="P3646" s="4"/>
      <c r="Q3646" s="4"/>
      <c r="R3646" s="4"/>
      <c r="S3646" s="4"/>
      <c r="T3646" s="4"/>
      <c r="U3646" s="4"/>
      <c r="V3646" s="4"/>
      <c r="W3646" s="4"/>
      <c r="X3646" s="4"/>
      <c r="Y3646" s="4"/>
      <c r="Z3646" s="4"/>
      <c r="AA3646" s="4"/>
      <c r="AB3646" s="5"/>
    </row>
    <row r="3647" spans="1:28" x14ac:dyDescent="0.35">
      <c r="A3647" s="3"/>
      <c r="B3647" s="4"/>
      <c r="C3647" s="4"/>
      <c r="D3647" s="4"/>
      <c r="E3647" s="4"/>
      <c r="F3647" s="4"/>
      <c r="G3647" s="4"/>
      <c r="H3647" s="4"/>
      <c r="I3647" s="4"/>
      <c r="J3647" s="4"/>
      <c r="K3647" s="4"/>
      <c r="L3647" s="4"/>
      <c r="M3647" s="4"/>
      <c r="N3647" s="4"/>
      <c r="O3647" s="4"/>
      <c r="P3647" s="4"/>
      <c r="Q3647" s="4"/>
      <c r="R3647" s="4"/>
      <c r="S3647" s="4"/>
      <c r="T3647" s="4"/>
      <c r="U3647" s="4"/>
      <c r="V3647" s="4"/>
      <c r="W3647" s="4"/>
      <c r="X3647" s="4"/>
      <c r="Y3647" s="4"/>
      <c r="Z3647" s="4"/>
      <c r="AA3647" s="4"/>
      <c r="AB3647" s="5"/>
    </row>
    <row r="3648" spans="1:28" x14ac:dyDescent="0.35">
      <c r="A3648" s="3"/>
      <c r="B3648" s="4"/>
      <c r="C3648" s="4"/>
      <c r="D3648" s="4"/>
      <c r="E3648" s="4"/>
      <c r="F3648" s="4"/>
      <c r="G3648" s="4"/>
      <c r="H3648" s="4"/>
      <c r="I3648" s="4"/>
      <c r="J3648" s="4"/>
      <c r="K3648" s="4"/>
      <c r="L3648" s="4"/>
      <c r="M3648" s="4"/>
      <c r="N3648" s="4"/>
      <c r="O3648" s="4"/>
      <c r="P3648" s="4"/>
      <c r="Q3648" s="4"/>
      <c r="R3648" s="4"/>
      <c r="S3648" s="4"/>
      <c r="T3648" s="4"/>
      <c r="U3648" s="4"/>
      <c r="V3648" s="4"/>
      <c r="W3648" s="4"/>
      <c r="X3648" s="4"/>
      <c r="Y3648" s="4"/>
      <c r="Z3648" s="4"/>
      <c r="AA3648" s="4"/>
      <c r="AB3648" s="5"/>
    </row>
    <row r="3649" spans="1:28" x14ac:dyDescent="0.35">
      <c r="A3649" s="3"/>
      <c r="B3649" s="4"/>
      <c r="C3649" s="4"/>
      <c r="D3649" s="4"/>
      <c r="E3649" s="4"/>
      <c r="F3649" s="4"/>
      <c r="G3649" s="4"/>
      <c r="H3649" s="4"/>
      <c r="I3649" s="4"/>
      <c r="J3649" s="4"/>
      <c r="K3649" s="4"/>
      <c r="L3649" s="4"/>
      <c r="M3649" s="4"/>
      <c r="N3649" s="4"/>
      <c r="O3649" s="4"/>
      <c r="P3649" s="4"/>
      <c r="Q3649" s="4"/>
      <c r="R3649" s="4"/>
      <c r="S3649" s="4"/>
      <c r="T3649" s="4"/>
      <c r="U3649" s="4"/>
      <c r="V3649" s="4"/>
      <c r="W3649" s="4"/>
      <c r="X3649" s="4"/>
      <c r="Y3649" s="4"/>
      <c r="Z3649" s="4"/>
      <c r="AA3649" s="4"/>
      <c r="AB3649" s="5"/>
    </row>
    <row r="3650" spans="1:28" x14ac:dyDescent="0.35">
      <c r="A3650" s="3"/>
      <c r="B3650" s="4"/>
      <c r="C3650" s="4"/>
      <c r="D3650" s="4"/>
      <c r="E3650" s="4"/>
      <c r="F3650" s="4"/>
      <c r="G3650" s="4"/>
      <c r="H3650" s="4"/>
      <c r="I3650" s="4"/>
      <c r="J3650" s="4"/>
      <c r="K3650" s="4"/>
      <c r="L3650" s="4"/>
      <c r="M3650" s="4"/>
      <c r="N3650" s="4"/>
      <c r="O3650" s="4"/>
      <c r="P3650" s="4"/>
      <c r="Q3650" s="4"/>
      <c r="R3650" s="4"/>
      <c r="S3650" s="4"/>
      <c r="T3650" s="4"/>
      <c r="U3650" s="4"/>
      <c r="V3650" s="4"/>
      <c r="W3650" s="4"/>
      <c r="X3650" s="4"/>
      <c r="Y3650" s="4"/>
      <c r="Z3650" s="4"/>
      <c r="AA3650" s="4"/>
      <c r="AB3650" s="5"/>
    </row>
    <row r="3651" spans="1:28" x14ac:dyDescent="0.35">
      <c r="A3651" s="3"/>
      <c r="B3651" s="4"/>
      <c r="C3651" s="4"/>
      <c r="D3651" s="4"/>
      <c r="E3651" s="4"/>
      <c r="F3651" s="4"/>
      <c r="G3651" s="4"/>
      <c r="H3651" s="4"/>
      <c r="I3651" s="4"/>
      <c r="J3651" s="4"/>
      <c r="K3651" s="4"/>
      <c r="L3651" s="4"/>
      <c r="M3651" s="4"/>
      <c r="N3651" s="4"/>
      <c r="O3651" s="4"/>
      <c r="P3651" s="4"/>
      <c r="Q3651" s="4"/>
      <c r="R3651" s="4"/>
      <c r="S3651" s="4"/>
      <c r="T3651" s="4"/>
      <c r="U3651" s="4"/>
      <c r="V3651" s="4"/>
      <c r="W3651" s="4"/>
      <c r="X3651" s="4"/>
      <c r="Y3651" s="4"/>
      <c r="Z3651" s="4"/>
      <c r="AA3651" s="4"/>
      <c r="AB3651" s="5"/>
    </row>
    <row r="3652" spans="1:28" x14ac:dyDescent="0.35">
      <c r="A3652" s="3"/>
      <c r="B3652" s="4"/>
      <c r="C3652" s="4"/>
      <c r="D3652" s="4"/>
      <c r="E3652" s="4"/>
      <c r="F3652" s="4"/>
      <c r="G3652" s="4"/>
      <c r="H3652" s="4"/>
      <c r="I3652" s="4"/>
      <c r="J3652" s="4"/>
      <c r="K3652" s="4"/>
      <c r="L3652" s="4"/>
      <c r="M3652" s="4"/>
      <c r="N3652" s="4"/>
      <c r="O3652" s="4"/>
      <c r="P3652" s="4"/>
      <c r="Q3652" s="4"/>
      <c r="R3652" s="4"/>
      <c r="S3652" s="4"/>
      <c r="T3652" s="4"/>
      <c r="U3652" s="4"/>
      <c r="V3652" s="4"/>
      <c r="W3652" s="4"/>
      <c r="X3652" s="4"/>
      <c r="Y3652" s="4"/>
      <c r="Z3652" s="4"/>
      <c r="AA3652" s="4"/>
      <c r="AB3652" s="5"/>
    </row>
    <row r="3653" spans="1:28" x14ac:dyDescent="0.35">
      <c r="A3653" s="3"/>
      <c r="B3653" s="4"/>
      <c r="C3653" s="4"/>
      <c r="D3653" s="4"/>
      <c r="E3653" s="4"/>
      <c r="F3653" s="4"/>
      <c r="G3653" s="4"/>
      <c r="H3653" s="4"/>
      <c r="I3653" s="4"/>
      <c r="J3653" s="4"/>
      <c r="K3653" s="4"/>
      <c r="L3653" s="4"/>
      <c r="M3653" s="4"/>
      <c r="N3653" s="4"/>
      <c r="O3653" s="4"/>
      <c r="P3653" s="4"/>
      <c r="Q3653" s="4"/>
      <c r="R3653" s="4"/>
      <c r="S3653" s="4"/>
      <c r="T3653" s="4"/>
      <c r="U3653" s="4"/>
      <c r="V3653" s="4"/>
      <c r="W3653" s="4"/>
      <c r="X3653" s="4"/>
      <c r="Y3653" s="4"/>
      <c r="Z3653" s="4"/>
      <c r="AA3653" s="4"/>
      <c r="AB3653" s="5"/>
    </row>
    <row r="3654" spans="1:28" x14ac:dyDescent="0.35">
      <c r="A3654" s="3"/>
      <c r="B3654" s="4"/>
      <c r="C3654" s="4"/>
      <c r="D3654" s="4"/>
      <c r="E3654" s="4"/>
      <c r="F3654" s="4"/>
      <c r="G3654" s="4"/>
      <c r="H3654" s="4"/>
      <c r="I3654" s="4"/>
      <c r="J3654" s="4"/>
      <c r="K3654" s="4"/>
      <c r="L3654" s="4"/>
      <c r="M3654" s="4"/>
      <c r="N3654" s="4"/>
      <c r="O3654" s="4"/>
      <c r="P3654" s="4"/>
      <c r="Q3654" s="4"/>
      <c r="R3654" s="4"/>
      <c r="S3654" s="4"/>
      <c r="T3654" s="4"/>
      <c r="U3654" s="4"/>
      <c r="V3654" s="4"/>
      <c r="W3654" s="4"/>
      <c r="X3654" s="4"/>
      <c r="Y3654" s="4"/>
      <c r="Z3654" s="4"/>
      <c r="AA3654" s="4"/>
      <c r="AB3654" s="5"/>
    </row>
    <row r="3655" spans="1:28" x14ac:dyDescent="0.35">
      <c r="A3655" s="3"/>
      <c r="B3655" s="4"/>
      <c r="C3655" s="4"/>
      <c r="D3655" s="4"/>
      <c r="E3655" s="4"/>
      <c r="F3655" s="4"/>
      <c r="G3655" s="4"/>
      <c r="H3655" s="4"/>
      <c r="I3655" s="4"/>
      <c r="J3655" s="4"/>
      <c r="K3655" s="4"/>
      <c r="L3655" s="4"/>
      <c r="M3655" s="4"/>
      <c r="N3655" s="4"/>
      <c r="O3655" s="4"/>
      <c r="P3655" s="4"/>
      <c r="Q3655" s="4"/>
      <c r="R3655" s="4"/>
      <c r="S3655" s="4"/>
      <c r="T3655" s="4"/>
      <c r="U3655" s="4"/>
      <c r="V3655" s="4"/>
      <c r="W3655" s="4"/>
      <c r="X3655" s="4"/>
      <c r="Y3655" s="4"/>
      <c r="Z3655" s="4"/>
      <c r="AA3655" s="4"/>
      <c r="AB3655" s="5"/>
    </row>
    <row r="3656" spans="1:28" x14ac:dyDescent="0.35">
      <c r="A3656" s="3"/>
      <c r="B3656" s="4"/>
      <c r="C3656" s="4"/>
      <c r="D3656" s="4"/>
      <c r="E3656" s="4"/>
      <c r="F3656" s="4"/>
      <c r="G3656" s="4"/>
      <c r="H3656" s="4"/>
      <c r="I3656" s="4"/>
      <c r="J3656" s="4"/>
      <c r="K3656" s="4"/>
      <c r="L3656" s="4"/>
      <c r="M3656" s="4"/>
      <c r="N3656" s="4"/>
      <c r="O3656" s="4"/>
      <c r="P3656" s="4"/>
      <c r="Q3656" s="4"/>
      <c r="R3656" s="4"/>
      <c r="S3656" s="4"/>
      <c r="T3656" s="4"/>
      <c r="U3656" s="4"/>
      <c r="V3656" s="4"/>
      <c r="W3656" s="4"/>
      <c r="X3656" s="4"/>
      <c r="Y3656" s="4"/>
      <c r="Z3656" s="4"/>
      <c r="AA3656" s="4"/>
      <c r="AB3656" s="5"/>
    </row>
    <row r="3657" spans="1:28" x14ac:dyDescent="0.35">
      <c r="A3657" s="3"/>
      <c r="B3657" s="4"/>
      <c r="C3657" s="4"/>
      <c r="D3657" s="4"/>
      <c r="E3657" s="4"/>
      <c r="F3657" s="4"/>
      <c r="G3657" s="4"/>
      <c r="H3657" s="4"/>
      <c r="I3657" s="4"/>
      <c r="J3657" s="4"/>
      <c r="K3657" s="4"/>
      <c r="L3657" s="4"/>
      <c r="M3657" s="4"/>
      <c r="N3657" s="4"/>
      <c r="O3657" s="4"/>
      <c r="P3657" s="4"/>
      <c r="Q3657" s="4"/>
      <c r="R3657" s="4"/>
      <c r="S3657" s="4"/>
      <c r="T3657" s="4"/>
      <c r="U3657" s="4"/>
      <c r="V3657" s="4"/>
      <c r="W3657" s="4"/>
      <c r="X3657" s="4"/>
      <c r="Y3657" s="4"/>
      <c r="Z3657" s="4"/>
      <c r="AA3657" s="4"/>
      <c r="AB3657" s="5"/>
    </row>
    <row r="3658" spans="1:28" x14ac:dyDescent="0.35">
      <c r="A3658" s="3"/>
      <c r="B3658" s="4"/>
      <c r="C3658" s="4"/>
      <c r="D3658" s="4"/>
      <c r="E3658" s="4"/>
      <c r="F3658" s="4"/>
      <c r="G3658" s="4"/>
      <c r="H3658" s="4"/>
      <c r="I3658" s="4"/>
      <c r="J3658" s="4"/>
      <c r="K3658" s="4"/>
      <c r="L3658" s="4"/>
      <c r="M3658" s="4"/>
      <c r="N3658" s="4"/>
      <c r="O3658" s="4"/>
      <c r="P3658" s="4"/>
      <c r="Q3658" s="4"/>
      <c r="R3658" s="4"/>
      <c r="S3658" s="4"/>
      <c r="T3658" s="4"/>
      <c r="U3658" s="4"/>
      <c r="V3658" s="4"/>
      <c r="W3658" s="4"/>
      <c r="X3658" s="4"/>
      <c r="Y3658" s="4"/>
      <c r="Z3658" s="4"/>
      <c r="AA3658" s="4"/>
      <c r="AB3658" s="5"/>
    </row>
    <row r="3659" spans="1:28" x14ac:dyDescent="0.35">
      <c r="A3659" s="3"/>
      <c r="B3659" s="4"/>
      <c r="C3659" s="4"/>
      <c r="D3659" s="4"/>
      <c r="E3659" s="4"/>
      <c r="F3659" s="4"/>
      <c r="G3659" s="4"/>
      <c r="H3659" s="4"/>
      <c r="I3659" s="4"/>
      <c r="J3659" s="4"/>
      <c r="K3659" s="4"/>
      <c r="L3659" s="4"/>
      <c r="M3659" s="4"/>
      <c r="N3659" s="4"/>
      <c r="O3659" s="4"/>
      <c r="P3659" s="4"/>
      <c r="Q3659" s="4"/>
      <c r="R3659" s="4"/>
      <c r="S3659" s="4"/>
      <c r="T3659" s="4"/>
      <c r="U3659" s="4"/>
      <c r="V3659" s="4"/>
      <c r="W3659" s="4"/>
      <c r="X3659" s="4"/>
      <c r="Y3659" s="4"/>
      <c r="Z3659" s="4"/>
      <c r="AA3659" s="4"/>
      <c r="AB3659" s="5"/>
    </row>
    <row r="3660" spans="1:28" x14ac:dyDescent="0.35">
      <c r="A3660" s="3"/>
      <c r="B3660" s="4"/>
      <c r="C3660" s="4"/>
      <c r="D3660" s="4"/>
      <c r="E3660" s="4"/>
      <c r="F3660" s="4"/>
      <c r="G3660" s="4"/>
      <c r="H3660" s="4"/>
      <c r="I3660" s="4"/>
      <c r="J3660" s="4"/>
      <c r="K3660" s="4"/>
      <c r="L3660" s="4"/>
      <c r="M3660" s="4"/>
      <c r="N3660" s="4"/>
      <c r="O3660" s="4"/>
      <c r="P3660" s="4"/>
      <c r="Q3660" s="4"/>
      <c r="R3660" s="4"/>
      <c r="S3660" s="4"/>
      <c r="T3660" s="4"/>
      <c r="U3660" s="4"/>
      <c r="V3660" s="4"/>
      <c r="W3660" s="4"/>
      <c r="X3660" s="4"/>
      <c r="Y3660" s="4"/>
      <c r="Z3660" s="4"/>
      <c r="AA3660" s="4"/>
      <c r="AB3660" s="5"/>
    </row>
    <row r="3661" spans="1:28" x14ac:dyDescent="0.35">
      <c r="A3661" s="3"/>
      <c r="B3661" s="4"/>
      <c r="C3661" s="4"/>
      <c r="D3661" s="4"/>
      <c r="E3661" s="4"/>
      <c r="F3661" s="4"/>
      <c r="G3661" s="4"/>
      <c r="H3661" s="4"/>
      <c r="I3661" s="4"/>
      <c r="J3661" s="4"/>
      <c r="K3661" s="4"/>
      <c r="L3661" s="4"/>
      <c r="M3661" s="4"/>
      <c r="N3661" s="4"/>
      <c r="O3661" s="4"/>
      <c r="P3661" s="4"/>
      <c r="Q3661" s="4"/>
      <c r="R3661" s="4"/>
      <c r="S3661" s="4"/>
      <c r="T3661" s="4"/>
      <c r="U3661" s="4"/>
      <c r="V3661" s="4"/>
      <c r="W3661" s="4"/>
      <c r="X3661" s="4"/>
      <c r="Y3661" s="4"/>
      <c r="Z3661" s="4"/>
      <c r="AA3661" s="4"/>
      <c r="AB3661" s="5"/>
    </row>
    <row r="3662" spans="1:28" x14ac:dyDescent="0.35">
      <c r="A3662" s="3"/>
      <c r="B3662" s="4"/>
      <c r="C3662" s="4"/>
      <c r="D3662" s="4"/>
      <c r="E3662" s="4"/>
      <c r="F3662" s="4"/>
      <c r="G3662" s="4"/>
      <c r="H3662" s="4"/>
      <c r="I3662" s="4"/>
      <c r="J3662" s="4"/>
      <c r="K3662" s="4"/>
      <c r="L3662" s="4"/>
      <c r="M3662" s="4"/>
      <c r="N3662" s="4"/>
      <c r="O3662" s="4"/>
      <c r="P3662" s="4"/>
      <c r="Q3662" s="4"/>
      <c r="R3662" s="4"/>
      <c r="S3662" s="4"/>
      <c r="T3662" s="4"/>
      <c r="U3662" s="4"/>
      <c r="V3662" s="4"/>
      <c r="W3662" s="4"/>
      <c r="X3662" s="4"/>
      <c r="Y3662" s="4"/>
      <c r="Z3662" s="4"/>
      <c r="AA3662" s="4"/>
      <c r="AB3662" s="5"/>
    </row>
    <row r="3663" spans="1:28" x14ac:dyDescent="0.35">
      <c r="A3663" s="3"/>
      <c r="B3663" s="4"/>
      <c r="C3663" s="4"/>
      <c r="D3663" s="4"/>
      <c r="E3663" s="4"/>
      <c r="F3663" s="4"/>
      <c r="G3663" s="4"/>
      <c r="H3663" s="4"/>
      <c r="I3663" s="4"/>
      <c r="J3663" s="4"/>
      <c r="K3663" s="4"/>
      <c r="L3663" s="4"/>
      <c r="M3663" s="4"/>
      <c r="N3663" s="4"/>
      <c r="O3663" s="4"/>
      <c r="P3663" s="4"/>
      <c r="Q3663" s="4"/>
      <c r="R3663" s="4"/>
      <c r="S3663" s="4"/>
      <c r="T3663" s="4"/>
      <c r="U3663" s="4"/>
      <c r="V3663" s="4"/>
      <c r="W3663" s="4"/>
      <c r="X3663" s="4"/>
      <c r="Y3663" s="4"/>
      <c r="Z3663" s="4"/>
      <c r="AA3663" s="4"/>
      <c r="AB3663" s="5"/>
    </row>
    <row r="3664" spans="1:28" x14ac:dyDescent="0.35">
      <c r="A3664" s="3"/>
      <c r="B3664" s="4"/>
      <c r="C3664" s="4"/>
      <c r="D3664" s="4"/>
      <c r="E3664" s="4"/>
      <c r="F3664" s="4"/>
      <c r="G3664" s="4"/>
      <c r="H3664" s="4"/>
      <c r="I3664" s="4"/>
      <c r="J3664" s="4"/>
      <c r="K3664" s="4"/>
      <c r="L3664" s="4"/>
      <c r="M3664" s="4"/>
      <c r="N3664" s="4"/>
      <c r="O3664" s="4"/>
      <c r="P3664" s="4"/>
      <c r="Q3664" s="4"/>
      <c r="R3664" s="4"/>
      <c r="S3664" s="4"/>
      <c r="T3664" s="4"/>
      <c r="U3664" s="4"/>
      <c r="V3664" s="4"/>
      <c r="W3664" s="4"/>
      <c r="X3664" s="4"/>
      <c r="Y3664" s="4"/>
      <c r="Z3664" s="4"/>
      <c r="AA3664" s="4"/>
      <c r="AB3664" s="5"/>
    </row>
    <row r="3665" spans="1:28" x14ac:dyDescent="0.35">
      <c r="A3665" s="3"/>
      <c r="B3665" s="4"/>
      <c r="C3665" s="4"/>
      <c r="D3665" s="4"/>
      <c r="E3665" s="4"/>
      <c r="F3665" s="4"/>
      <c r="G3665" s="4"/>
      <c r="H3665" s="4"/>
      <c r="I3665" s="4"/>
      <c r="J3665" s="4"/>
      <c r="K3665" s="4"/>
      <c r="L3665" s="4"/>
      <c r="M3665" s="4"/>
      <c r="N3665" s="4"/>
      <c r="O3665" s="4"/>
      <c r="P3665" s="4"/>
      <c r="Q3665" s="4"/>
      <c r="R3665" s="4"/>
      <c r="S3665" s="4"/>
      <c r="T3665" s="4"/>
      <c r="U3665" s="4"/>
      <c r="V3665" s="4"/>
      <c r="W3665" s="4"/>
      <c r="X3665" s="4"/>
      <c r="Y3665" s="4"/>
      <c r="Z3665" s="4"/>
      <c r="AA3665" s="4"/>
      <c r="AB3665" s="5"/>
    </row>
    <row r="3666" spans="1:28" x14ac:dyDescent="0.35">
      <c r="A3666" s="3"/>
      <c r="B3666" s="4"/>
      <c r="C3666" s="4"/>
      <c r="D3666" s="4"/>
      <c r="E3666" s="4"/>
      <c r="F3666" s="4"/>
      <c r="G3666" s="4"/>
      <c r="H3666" s="4"/>
      <c r="I3666" s="4"/>
      <c r="J3666" s="4"/>
      <c r="K3666" s="4"/>
      <c r="L3666" s="4"/>
      <c r="M3666" s="4"/>
      <c r="N3666" s="4"/>
      <c r="O3666" s="4"/>
      <c r="P3666" s="4"/>
      <c r="Q3666" s="4"/>
      <c r="R3666" s="4"/>
      <c r="S3666" s="4"/>
      <c r="T3666" s="4"/>
      <c r="U3666" s="4"/>
      <c r="V3666" s="4"/>
      <c r="W3666" s="4"/>
      <c r="X3666" s="4"/>
      <c r="Y3666" s="4"/>
      <c r="Z3666" s="4"/>
      <c r="AA3666" s="4"/>
      <c r="AB3666" s="5"/>
    </row>
    <row r="3667" spans="1:28" x14ac:dyDescent="0.35">
      <c r="A3667" s="3"/>
      <c r="B3667" s="4"/>
      <c r="C3667" s="4"/>
      <c r="D3667" s="4"/>
      <c r="E3667" s="4"/>
      <c r="F3667" s="4"/>
      <c r="G3667" s="4"/>
      <c r="H3667" s="4"/>
      <c r="I3667" s="4"/>
      <c r="J3667" s="4"/>
      <c r="K3667" s="4"/>
      <c r="L3667" s="4"/>
      <c r="M3667" s="4"/>
      <c r="N3667" s="4"/>
      <c r="O3667" s="4"/>
      <c r="P3667" s="4"/>
      <c r="Q3667" s="4"/>
      <c r="R3667" s="4"/>
      <c r="S3667" s="4"/>
      <c r="T3667" s="4"/>
      <c r="U3667" s="4"/>
      <c r="V3667" s="4"/>
      <c r="W3667" s="4"/>
      <c r="X3667" s="4"/>
      <c r="Y3667" s="4"/>
      <c r="Z3667" s="4"/>
      <c r="AA3667" s="4"/>
      <c r="AB3667" s="5"/>
    </row>
    <row r="3668" spans="1:28" x14ac:dyDescent="0.35">
      <c r="A3668" s="3"/>
      <c r="B3668" s="4"/>
      <c r="C3668" s="4"/>
      <c r="D3668" s="4"/>
      <c r="E3668" s="4"/>
      <c r="F3668" s="4"/>
      <c r="G3668" s="4"/>
      <c r="H3668" s="4"/>
      <c r="I3668" s="4"/>
      <c r="J3668" s="4"/>
      <c r="K3668" s="4"/>
      <c r="L3668" s="4"/>
      <c r="M3668" s="4"/>
      <c r="N3668" s="4"/>
      <c r="O3668" s="4"/>
      <c r="P3668" s="4"/>
      <c r="Q3668" s="4"/>
      <c r="R3668" s="4"/>
      <c r="S3668" s="4"/>
      <c r="T3668" s="4"/>
      <c r="U3668" s="4"/>
      <c r="V3668" s="4"/>
      <c r="W3668" s="4"/>
      <c r="X3668" s="4"/>
      <c r="Y3668" s="4"/>
      <c r="Z3668" s="4"/>
      <c r="AA3668" s="4"/>
      <c r="AB3668" s="5"/>
    </row>
    <row r="3669" spans="1:28" x14ac:dyDescent="0.35">
      <c r="A3669" s="3"/>
      <c r="B3669" s="4"/>
      <c r="C3669" s="4"/>
      <c r="D3669" s="4"/>
      <c r="E3669" s="4"/>
      <c r="F3669" s="4"/>
      <c r="G3669" s="4"/>
      <c r="H3669" s="4"/>
      <c r="I3669" s="4"/>
      <c r="J3669" s="4"/>
      <c r="K3669" s="4"/>
      <c r="L3669" s="4"/>
      <c r="M3669" s="4"/>
      <c r="N3669" s="4"/>
      <c r="O3669" s="4"/>
      <c r="P3669" s="4"/>
      <c r="Q3669" s="4"/>
      <c r="R3669" s="4"/>
      <c r="S3669" s="4"/>
      <c r="T3669" s="4"/>
      <c r="U3669" s="4"/>
      <c r="V3669" s="4"/>
      <c r="W3669" s="4"/>
      <c r="X3669" s="4"/>
      <c r="Y3669" s="4"/>
      <c r="Z3669" s="4"/>
      <c r="AA3669" s="4"/>
      <c r="AB3669" s="5"/>
    </row>
    <row r="3670" spans="1:28" x14ac:dyDescent="0.35">
      <c r="A3670" s="3"/>
      <c r="B3670" s="4"/>
      <c r="C3670" s="4"/>
      <c r="D3670" s="4"/>
      <c r="E3670" s="4"/>
      <c r="F3670" s="4"/>
      <c r="G3670" s="4"/>
      <c r="H3670" s="4"/>
      <c r="I3670" s="4"/>
      <c r="J3670" s="4"/>
      <c r="K3670" s="4"/>
      <c r="L3670" s="4"/>
      <c r="M3670" s="4"/>
      <c r="N3670" s="4"/>
      <c r="O3670" s="4"/>
      <c r="P3670" s="4"/>
      <c r="Q3670" s="4"/>
      <c r="R3670" s="4"/>
      <c r="S3670" s="4"/>
      <c r="T3670" s="4"/>
      <c r="U3670" s="4"/>
      <c r="V3670" s="4"/>
      <c r="W3670" s="4"/>
      <c r="X3670" s="4"/>
      <c r="Y3670" s="4"/>
      <c r="Z3670" s="4"/>
      <c r="AA3670" s="4"/>
      <c r="AB3670" s="5"/>
    </row>
    <row r="3671" spans="1:28" x14ac:dyDescent="0.35">
      <c r="A3671" s="3"/>
      <c r="B3671" s="4"/>
      <c r="C3671" s="4"/>
      <c r="D3671" s="4"/>
      <c r="E3671" s="4"/>
      <c r="F3671" s="4"/>
      <c r="G3671" s="4"/>
      <c r="H3671" s="4"/>
      <c r="I3671" s="4"/>
      <c r="J3671" s="4"/>
      <c r="K3671" s="4"/>
      <c r="L3671" s="4"/>
      <c r="M3671" s="4"/>
      <c r="N3671" s="4"/>
      <c r="O3671" s="4"/>
      <c r="P3671" s="4"/>
      <c r="Q3671" s="4"/>
      <c r="R3671" s="4"/>
      <c r="S3671" s="4"/>
      <c r="T3671" s="4"/>
      <c r="U3671" s="4"/>
      <c r="V3671" s="4"/>
      <c r="W3671" s="4"/>
      <c r="X3671" s="4"/>
      <c r="Y3671" s="4"/>
      <c r="Z3671" s="4"/>
      <c r="AA3671" s="4"/>
      <c r="AB3671" s="5"/>
    </row>
    <row r="3672" spans="1:28" x14ac:dyDescent="0.35">
      <c r="A3672" s="3"/>
      <c r="B3672" s="4"/>
      <c r="C3672" s="4"/>
      <c r="D3672" s="4"/>
      <c r="E3672" s="4"/>
      <c r="F3672" s="4"/>
      <c r="G3672" s="4"/>
      <c r="H3672" s="4"/>
      <c r="I3672" s="4"/>
      <c r="J3672" s="4"/>
      <c r="K3672" s="4"/>
      <c r="L3672" s="4"/>
      <c r="M3672" s="4"/>
      <c r="N3672" s="4"/>
      <c r="O3672" s="4"/>
      <c r="P3672" s="4"/>
      <c r="Q3672" s="4"/>
      <c r="R3672" s="4"/>
      <c r="S3672" s="4"/>
      <c r="T3672" s="4"/>
      <c r="U3672" s="4"/>
      <c r="V3672" s="4"/>
      <c r="W3672" s="4"/>
      <c r="X3672" s="4"/>
      <c r="Y3672" s="4"/>
      <c r="Z3672" s="4"/>
      <c r="AA3672" s="4"/>
      <c r="AB3672" s="5"/>
    </row>
    <row r="3673" spans="1:28" x14ac:dyDescent="0.35">
      <c r="A3673" s="3"/>
      <c r="B3673" s="4"/>
      <c r="C3673" s="4"/>
      <c r="D3673" s="4"/>
      <c r="E3673" s="4"/>
      <c r="F3673" s="4"/>
      <c r="G3673" s="4"/>
      <c r="H3673" s="4"/>
      <c r="I3673" s="4"/>
      <c r="J3673" s="4"/>
      <c r="K3673" s="4"/>
      <c r="L3673" s="4"/>
      <c r="M3673" s="4"/>
      <c r="N3673" s="4"/>
      <c r="O3673" s="4"/>
      <c r="P3673" s="4"/>
      <c r="Q3673" s="4"/>
      <c r="R3673" s="4"/>
      <c r="S3673" s="4"/>
      <c r="T3673" s="4"/>
      <c r="U3673" s="4"/>
      <c r="V3673" s="4"/>
      <c r="W3673" s="4"/>
      <c r="X3673" s="4"/>
      <c r="Y3673" s="4"/>
      <c r="Z3673" s="4"/>
      <c r="AA3673" s="4"/>
      <c r="AB3673" s="5"/>
    </row>
    <row r="3674" spans="1:28" x14ac:dyDescent="0.35">
      <c r="A3674" s="3"/>
      <c r="B3674" s="4"/>
      <c r="C3674" s="4"/>
      <c r="D3674" s="4"/>
      <c r="E3674" s="4"/>
      <c r="F3674" s="4"/>
      <c r="G3674" s="4"/>
      <c r="H3674" s="4"/>
      <c r="I3674" s="4"/>
      <c r="J3674" s="4"/>
      <c r="K3674" s="4"/>
      <c r="L3674" s="4"/>
      <c r="M3674" s="4"/>
      <c r="N3674" s="4"/>
      <c r="O3674" s="4"/>
      <c r="P3674" s="4"/>
      <c r="Q3674" s="4"/>
      <c r="R3674" s="4"/>
      <c r="S3674" s="4"/>
      <c r="T3674" s="4"/>
      <c r="U3674" s="4"/>
      <c r="V3674" s="4"/>
      <c r="W3674" s="4"/>
      <c r="X3674" s="4"/>
      <c r="Y3674" s="4"/>
      <c r="Z3674" s="4"/>
      <c r="AA3674" s="4"/>
      <c r="AB3674" s="5"/>
    </row>
    <row r="3675" spans="1:28" x14ac:dyDescent="0.35">
      <c r="A3675" s="3"/>
      <c r="B3675" s="4"/>
      <c r="C3675" s="4"/>
      <c r="D3675" s="4"/>
      <c r="E3675" s="4"/>
      <c r="F3675" s="4"/>
      <c r="G3675" s="4"/>
      <c r="H3675" s="4"/>
      <c r="I3675" s="4"/>
      <c r="J3675" s="4"/>
      <c r="K3675" s="4"/>
      <c r="L3675" s="4"/>
      <c r="M3675" s="4"/>
      <c r="N3675" s="4"/>
      <c r="O3675" s="4"/>
      <c r="P3675" s="4"/>
      <c r="Q3675" s="4"/>
      <c r="R3675" s="4"/>
      <c r="S3675" s="4"/>
      <c r="T3675" s="4"/>
      <c r="U3675" s="4"/>
      <c r="V3675" s="4"/>
      <c r="W3675" s="4"/>
      <c r="X3675" s="4"/>
      <c r="Y3675" s="4"/>
      <c r="Z3675" s="4"/>
      <c r="AA3675" s="4"/>
      <c r="AB3675" s="5"/>
    </row>
    <row r="3676" spans="1:28" x14ac:dyDescent="0.35">
      <c r="A3676" s="3"/>
      <c r="B3676" s="4"/>
      <c r="C3676" s="4"/>
      <c r="D3676" s="4"/>
      <c r="E3676" s="4"/>
      <c r="F3676" s="4"/>
      <c r="G3676" s="4"/>
      <c r="H3676" s="4"/>
      <c r="I3676" s="4"/>
      <c r="J3676" s="4"/>
      <c r="K3676" s="4"/>
      <c r="L3676" s="4"/>
      <c r="M3676" s="4"/>
      <c r="N3676" s="4"/>
      <c r="O3676" s="4"/>
      <c r="P3676" s="4"/>
      <c r="Q3676" s="4"/>
      <c r="R3676" s="4"/>
      <c r="S3676" s="4"/>
      <c r="T3676" s="4"/>
      <c r="U3676" s="4"/>
      <c r="V3676" s="4"/>
      <c r="W3676" s="4"/>
      <c r="X3676" s="4"/>
      <c r="Y3676" s="4"/>
      <c r="Z3676" s="4"/>
      <c r="AA3676" s="4"/>
      <c r="AB3676" s="5"/>
    </row>
    <row r="3677" spans="1:28" x14ac:dyDescent="0.35">
      <c r="A3677" s="3"/>
      <c r="B3677" s="4"/>
      <c r="C3677" s="4"/>
      <c r="D3677" s="4"/>
      <c r="E3677" s="4"/>
      <c r="F3677" s="4"/>
      <c r="G3677" s="4"/>
      <c r="H3677" s="4"/>
      <c r="I3677" s="4"/>
      <c r="J3677" s="4"/>
      <c r="K3677" s="4"/>
      <c r="L3677" s="4"/>
      <c r="M3677" s="4"/>
      <c r="N3677" s="4"/>
      <c r="O3677" s="4"/>
      <c r="P3677" s="4"/>
      <c r="Q3677" s="4"/>
      <c r="R3677" s="4"/>
      <c r="S3677" s="4"/>
      <c r="T3677" s="4"/>
      <c r="U3677" s="4"/>
      <c r="V3677" s="4"/>
      <c r="W3677" s="4"/>
      <c r="X3677" s="4"/>
      <c r="Y3677" s="4"/>
      <c r="Z3677" s="4"/>
      <c r="AA3677" s="4"/>
      <c r="AB3677" s="5"/>
    </row>
    <row r="3678" spans="1:28" x14ac:dyDescent="0.35">
      <c r="A3678" s="3"/>
      <c r="B3678" s="4"/>
      <c r="C3678" s="4"/>
      <c r="D3678" s="4"/>
      <c r="E3678" s="4"/>
      <c r="F3678" s="4"/>
      <c r="G3678" s="4"/>
      <c r="H3678" s="4"/>
      <c r="I3678" s="4"/>
      <c r="J3678" s="4"/>
      <c r="K3678" s="4"/>
      <c r="L3678" s="4"/>
      <c r="M3678" s="4"/>
      <c r="N3678" s="4"/>
      <c r="O3678" s="4"/>
      <c r="P3678" s="4"/>
      <c r="Q3678" s="4"/>
      <c r="R3678" s="4"/>
      <c r="S3678" s="4"/>
      <c r="T3678" s="4"/>
      <c r="U3678" s="4"/>
      <c r="V3678" s="4"/>
      <c r="W3678" s="4"/>
      <c r="X3678" s="4"/>
      <c r="Y3678" s="4"/>
      <c r="Z3678" s="4"/>
      <c r="AA3678" s="4"/>
      <c r="AB3678" s="5"/>
    </row>
    <row r="3679" spans="1:28" x14ac:dyDescent="0.35">
      <c r="A3679" s="3"/>
      <c r="B3679" s="4"/>
      <c r="C3679" s="4"/>
      <c r="D3679" s="4"/>
      <c r="E3679" s="4"/>
      <c r="F3679" s="4"/>
      <c r="G3679" s="4"/>
      <c r="H3679" s="4"/>
      <c r="I3679" s="4"/>
      <c r="J3679" s="4"/>
      <c r="K3679" s="4"/>
      <c r="L3679" s="4"/>
      <c r="M3679" s="4"/>
      <c r="N3679" s="4"/>
      <c r="O3679" s="4"/>
      <c r="P3679" s="4"/>
      <c r="Q3679" s="4"/>
      <c r="R3679" s="4"/>
      <c r="S3679" s="4"/>
      <c r="T3679" s="4"/>
      <c r="U3679" s="4"/>
      <c r="V3679" s="4"/>
      <c r="W3679" s="4"/>
      <c r="X3679" s="4"/>
      <c r="Y3679" s="4"/>
      <c r="Z3679" s="4"/>
      <c r="AA3679" s="4"/>
      <c r="AB3679" s="5"/>
    </row>
    <row r="3680" spans="1:28" x14ac:dyDescent="0.35">
      <c r="A3680" s="3"/>
      <c r="B3680" s="4"/>
      <c r="C3680" s="4"/>
      <c r="D3680" s="4"/>
      <c r="E3680" s="4"/>
      <c r="F3680" s="4"/>
      <c r="G3680" s="4"/>
      <c r="H3680" s="4"/>
      <c r="I3680" s="4"/>
      <c r="J3680" s="4"/>
      <c r="K3680" s="4"/>
      <c r="L3680" s="4"/>
      <c r="M3680" s="4"/>
      <c r="N3680" s="4"/>
      <c r="O3680" s="4"/>
      <c r="P3680" s="4"/>
      <c r="Q3680" s="4"/>
      <c r="R3680" s="4"/>
      <c r="S3680" s="4"/>
      <c r="T3680" s="4"/>
      <c r="U3680" s="4"/>
      <c r="V3680" s="4"/>
      <c r="W3680" s="4"/>
      <c r="X3680" s="4"/>
      <c r="Y3680" s="4"/>
      <c r="Z3680" s="4"/>
      <c r="AA3680" s="4"/>
      <c r="AB3680" s="5"/>
    </row>
    <row r="3681" spans="1:28" x14ac:dyDescent="0.35">
      <c r="A3681" s="3"/>
      <c r="B3681" s="4"/>
      <c r="C3681" s="4"/>
      <c r="D3681" s="4"/>
      <c r="E3681" s="4"/>
      <c r="F3681" s="4"/>
      <c r="G3681" s="4"/>
      <c r="H3681" s="4"/>
      <c r="I3681" s="4"/>
      <c r="J3681" s="4"/>
      <c r="K3681" s="4"/>
      <c r="L3681" s="4"/>
      <c r="M3681" s="4"/>
      <c r="N3681" s="4"/>
      <c r="O3681" s="4"/>
      <c r="P3681" s="4"/>
      <c r="Q3681" s="4"/>
      <c r="R3681" s="4"/>
      <c r="S3681" s="4"/>
      <c r="T3681" s="4"/>
      <c r="U3681" s="4"/>
      <c r="V3681" s="4"/>
      <c r="W3681" s="4"/>
      <c r="X3681" s="4"/>
      <c r="Y3681" s="4"/>
      <c r="Z3681" s="4"/>
      <c r="AA3681" s="4"/>
      <c r="AB3681" s="5"/>
    </row>
    <row r="3682" spans="1:28" x14ac:dyDescent="0.35">
      <c r="A3682" s="3"/>
      <c r="B3682" s="4"/>
      <c r="C3682" s="4"/>
      <c r="D3682" s="4"/>
      <c r="E3682" s="4"/>
      <c r="F3682" s="4"/>
      <c r="G3682" s="4"/>
      <c r="H3682" s="4"/>
      <c r="I3682" s="4"/>
      <c r="J3682" s="4"/>
      <c r="K3682" s="4"/>
      <c r="L3682" s="4"/>
      <c r="M3682" s="4"/>
      <c r="N3682" s="4"/>
      <c r="O3682" s="4"/>
      <c r="P3682" s="4"/>
      <c r="Q3682" s="4"/>
      <c r="R3682" s="4"/>
      <c r="S3682" s="4"/>
      <c r="T3682" s="4"/>
      <c r="U3682" s="4"/>
      <c r="V3682" s="4"/>
      <c r="W3682" s="4"/>
      <c r="X3682" s="4"/>
      <c r="Y3682" s="4"/>
      <c r="Z3682" s="4"/>
      <c r="AA3682" s="4"/>
      <c r="AB3682" s="5"/>
    </row>
    <row r="3683" spans="1:28" x14ac:dyDescent="0.35">
      <c r="A3683" s="3"/>
      <c r="B3683" s="4"/>
      <c r="C3683" s="4"/>
      <c r="D3683" s="4"/>
      <c r="E3683" s="4"/>
      <c r="F3683" s="4"/>
      <c r="G3683" s="4"/>
      <c r="H3683" s="4"/>
      <c r="I3683" s="4"/>
      <c r="J3683" s="4"/>
      <c r="K3683" s="4"/>
      <c r="L3683" s="4"/>
      <c r="M3683" s="4"/>
      <c r="N3683" s="4"/>
      <c r="O3683" s="4"/>
      <c r="P3683" s="4"/>
      <c r="Q3683" s="4"/>
      <c r="R3683" s="4"/>
      <c r="S3683" s="4"/>
      <c r="T3683" s="4"/>
      <c r="U3683" s="4"/>
      <c r="V3683" s="4"/>
      <c r="W3683" s="4"/>
      <c r="X3683" s="4"/>
      <c r="Y3683" s="4"/>
      <c r="Z3683" s="4"/>
      <c r="AA3683" s="4"/>
      <c r="AB3683" s="5"/>
    </row>
    <row r="3684" spans="1:28" x14ac:dyDescent="0.35">
      <c r="A3684" s="3"/>
      <c r="B3684" s="4"/>
      <c r="C3684" s="4"/>
      <c r="D3684" s="4"/>
      <c r="E3684" s="4"/>
      <c r="F3684" s="4"/>
      <c r="G3684" s="4"/>
      <c r="H3684" s="4"/>
      <c r="I3684" s="4"/>
      <c r="J3684" s="4"/>
      <c r="K3684" s="4"/>
      <c r="L3684" s="4"/>
      <c r="M3684" s="4"/>
      <c r="N3684" s="4"/>
      <c r="O3684" s="4"/>
      <c r="P3684" s="4"/>
      <c r="Q3684" s="4"/>
      <c r="R3684" s="4"/>
      <c r="S3684" s="4"/>
      <c r="T3684" s="4"/>
      <c r="U3684" s="4"/>
      <c r="V3684" s="4"/>
      <c r="W3684" s="4"/>
      <c r="X3684" s="4"/>
      <c r="Y3684" s="4"/>
      <c r="Z3684" s="4"/>
      <c r="AA3684" s="4"/>
      <c r="AB3684" s="5"/>
    </row>
    <row r="3685" spans="1:28" x14ac:dyDescent="0.35">
      <c r="A3685" s="3"/>
      <c r="B3685" s="4"/>
      <c r="C3685" s="4"/>
      <c r="D3685" s="4"/>
      <c r="E3685" s="4"/>
      <c r="F3685" s="4"/>
      <c r="G3685" s="4"/>
      <c r="H3685" s="4"/>
      <c r="I3685" s="4"/>
      <c r="J3685" s="4"/>
      <c r="K3685" s="4"/>
      <c r="L3685" s="4"/>
      <c r="M3685" s="4"/>
      <c r="N3685" s="4"/>
      <c r="O3685" s="4"/>
      <c r="P3685" s="4"/>
      <c r="Q3685" s="4"/>
      <c r="R3685" s="4"/>
      <c r="S3685" s="4"/>
      <c r="T3685" s="4"/>
      <c r="U3685" s="4"/>
      <c r="V3685" s="4"/>
      <c r="W3685" s="4"/>
      <c r="X3685" s="4"/>
      <c r="Y3685" s="4"/>
      <c r="Z3685" s="4"/>
      <c r="AA3685" s="4"/>
      <c r="AB3685" s="5"/>
    </row>
    <row r="3686" spans="1:28" x14ac:dyDescent="0.35">
      <c r="A3686" s="3"/>
      <c r="B3686" s="4"/>
      <c r="C3686" s="4"/>
      <c r="D3686" s="4"/>
      <c r="E3686" s="4"/>
      <c r="F3686" s="4"/>
      <c r="G3686" s="4"/>
      <c r="H3686" s="4"/>
      <c r="I3686" s="4"/>
      <c r="J3686" s="4"/>
      <c r="K3686" s="4"/>
      <c r="L3686" s="4"/>
      <c r="M3686" s="4"/>
      <c r="N3686" s="4"/>
      <c r="O3686" s="4"/>
      <c r="P3686" s="4"/>
      <c r="Q3686" s="4"/>
      <c r="R3686" s="4"/>
      <c r="S3686" s="4"/>
      <c r="T3686" s="4"/>
      <c r="U3686" s="4"/>
      <c r="V3686" s="4"/>
      <c r="W3686" s="4"/>
      <c r="X3686" s="4"/>
      <c r="Y3686" s="4"/>
      <c r="Z3686" s="4"/>
      <c r="AA3686" s="4"/>
      <c r="AB3686" s="5"/>
    </row>
    <row r="3687" spans="1:28" x14ac:dyDescent="0.35">
      <c r="A3687" s="3"/>
      <c r="B3687" s="4"/>
      <c r="C3687" s="4"/>
      <c r="D3687" s="4"/>
      <c r="E3687" s="4"/>
      <c r="F3687" s="4"/>
      <c r="G3687" s="4"/>
      <c r="H3687" s="4"/>
      <c r="I3687" s="4"/>
      <c r="J3687" s="4"/>
      <c r="K3687" s="4"/>
      <c r="L3687" s="4"/>
      <c r="M3687" s="4"/>
      <c r="N3687" s="4"/>
      <c r="O3687" s="4"/>
      <c r="P3687" s="4"/>
      <c r="Q3687" s="4"/>
      <c r="R3687" s="4"/>
      <c r="S3687" s="4"/>
      <c r="T3687" s="4"/>
      <c r="U3687" s="4"/>
      <c r="V3687" s="4"/>
      <c r="W3687" s="4"/>
      <c r="X3687" s="4"/>
      <c r="Y3687" s="4"/>
      <c r="Z3687" s="4"/>
      <c r="AA3687" s="4"/>
      <c r="AB3687" s="5"/>
    </row>
    <row r="3688" spans="1:28" x14ac:dyDescent="0.35">
      <c r="A3688" s="3"/>
      <c r="B3688" s="4"/>
      <c r="C3688" s="4"/>
      <c r="D3688" s="4"/>
      <c r="E3688" s="4"/>
      <c r="F3688" s="4"/>
      <c r="G3688" s="4"/>
      <c r="H3688" s="4"/>
      <c r="I3688" s="4"/>
      <c r="J3688" s="4"/>
      <c r="K3688" s="4"/>
      <c r="L3688" s="4"/>
      <c r="M3688" s="4"/>
      <c r="N3688" s="4"/>
      <c r="O3688" s="4"/>
      <c r="P3688" s="4"/>
      <c r="Q3688" s="4"/>
      <c r="R3688" s="4"/>
      <c r="S3688" s="4"/>
      <c r="T3688" s="4"/>
      <c r="U3688" s="4"/>
      <c r="V3688" s="4"/>
      <c r="W3688" s="4"/>
      <c r="X3688" s="4"/>
      <c r="Y3688" s="4"/>
      <c r="Z3688" s="4"/>
      <c r="AA3688" s="4"/>
      <c r="AB3688" s="5"/>
    </row>
    <row r="3689" spans="1:28" x14ac:dyDescent="0.35">
      <c r="A3689" s="3"/>
      <c r="B3689" s="4"/>
      <c r="C3689" s="4"/>
      <c r="D3689" s="4"/>
      <c r="E3689" s="4"/>
      <c r="F3689" s="4"/>
      <c r="G3689" s="4"/>
      <c r="H3689" s="4"/>
      <c r="I3689" s="4"/>
      <c r="J3689" s="4"/>
      <c r="K3689" s="4"/>
      <c r="L3689" s="4"/>
      <c r="M3689" s="4"/>
      <c r="N3689" s="4"/>
      <c r="O3689" s="4"/>
      <c r="P3689" s="4"/>
      <c r="Q3689" s="4"/>
      <c r="R3689" s="4"/>
      <c r="S3689" s="4"/>
      <c r="T3689" s="4"/>
      <c r="U3689" s="4"/>
      <c r="V3689" s="4"/>
      <c r="W3689" s="4"/>
      <c r="X3689" s="4"/>
      <c r="Y3689" s="4"/>
      <c r="Z3689" s="4"/>
      <c r="AA3689" s="4"/>
      <c r="AB3689" s="5"/>
    </row>
    <row r="3690" spans="1:28" x14ac:dyDescent="0.35">
      <c r="A3690" s="3"/>
      <c r="B3690" s="4"/>
      <c r="C3690" s="4"/>
      <c r="D3690" s="4"/>
      <c r="E3690" s="4"/>
      <c r="F3690" s="4"/>
      <c r="G3690" s="4"/>
      <c r="H3690" s="4"/>
      <c r="I3690" s="4"/>
      <c r="J3690" s="4"/>
      <c r="K3690" s="4"/>
      <c r="L3690" s="4"/>
      <c r="M3690" s="4"/>
      <c r="N3690" s="4"/>
      <c r="O3690" s="4"/>
      <c r="P3690" s="4"/>
      <c r="Q3690" s="4"/>
      <c r="R3690" s="4"/>
      <c r="S3690" s="4"/>
      <c r="T3690" s="4"/>
      <c r="U3690" s="4"/>
      <c r="V3690" s="4"/>
      <c r="W3690" s="4"/>
      <c r="X3690" s="4"/>
      <c r="Y3690" s="4"/>
      <c r="Z3690" s="4"/>
      <c r="AA3690" s="4"/>
      <c r="AB3690" s="5"/>
    </row>
    <row r="3691" spans="1:28" x14ac:dyDescent="0.35">
      <c r="A3691" s="3"/>
      <c r="B3691" s="4"/>
      <c r="C3691" s="4"/>
      <c r="D3691" s="4"/>
      <c r="E3691" s="4"/>
      <c r="F3691" s="4"/>
      <c r="G3691" s="4"/>
      <c r="H3691" s="4"/>
      <c r="I3691" s="4"/>
      <c r="J3691" s="4"/>
      <c r="K3691" s="4"/>
      <c r="L3691" s="4"/>
      <c r="M3691" s="4"/>
      <c r="N3691" s="4"/>
      <c r="O3691" s="4"/>
      <c r="P3691" s="4"/>
      <c r="Q3691" s="4"/>
      <c r="R3691" s="4"/>
      <c r="S3691" s="4"/>
      <c r="T3691" s="4"/>
      <c r="U3691" s="4"/>
      <c r="V3691" s="4"/>
      <c r="W3691" s="4"/>
      <c r="X3691" s="4"/>
      <c r="Y3691" s="4"/>
      <c r="Z3691" s="4"/>
      <c r="AA3691" s="4"/>
      <c r="AB3691" s="5"/>
    </row>
    <row r="3692" spans="1:28" x14ac:dyDescent="0.35">
      <c r="A3692" s="3"/>
      <c r="B3692" s="4"/>
      <c r="C3692" s="4"/>
      <c r="D3692" s="4"/>
      <c r="E3692" s="4"/>
      <c r="F3692" s="4"/>
      <c r="G3692" s="4"/>
      <c r="H3692" s="4"/>
      <c r="I3692" s="4"/>
      <c r="J3692" s="4"/>
      <c r="K3692" s="4"/>
      <c r="L3692" s="4"/>
      <c r="M3692" s="4"/>
      <c r="N3692" s="4"/>
      <c r="O3692" s="4"/>
      <c r="P3692" s="4"/>
      <c r="Q3692" s="4"/>
      <c r="R3692" s="4"/>
      <c r="S3692" s="4"/>
      <c r="T3692" s="4"/>
      <c r="U3692" s="4"/>
      <c r="V3692" s="4"/>
      <c r="W3692" s="4"/>
      <c r="X3692" s="4"/>
      <c r="Y3692" s="4"/>
      <c r="Z3692" s="4"/>
      <c r="AA3692" s="4"/>
      <c r="AB3692" s="5"/>
    </row>
    <row r="3693" spans="1:28" x14ac:dyDescent="0.35">
      <c r="A3693" s="3"/>
      <c r="B3693" s="4"/>
      <c r="C3693" s="4"/>
      <c r="D3693" s="4"/>
      <c r="E3693" s="4"/>
      <c r="F3693" s="4"/>
      <c r="G3693" s="4"/>
      <c r="H3693" s="4"/>
      <c r="I3693" s="4"/>
      <c r="J3693" s="4"/>
      <c r="K3693" s="4"/>
      <c r="L3693" s="4"/>
      <c r="M3693" s="4"/>
      <c r="N3693" s="4"/>
      <c r="O3693" s="4"/>
      <c r="P3693" s="4"/>
      <c r="Q3693" s="4"/>
      <c r="R3693" s="4"/>
      <c r="S3693" s="4"/>
      <c r="T3693" s="4"/>
      <c r="U3693" s="4"/>
      <c r="V3693" s="4"/>
      <c r="W3693" s="4"/>
      <c r="X3693" s="4"/>
      <c r="Y3693" s="4"/>
      <c r="Z3693" s="4"/>
      <c r="AA3693" s="4"/>
      <c r="AB3693" s="5"/>
    </row>
    <row r="3694" spans="1:28" x14ac:dyDescent="0.35">
      <c r="A3694" s="3"/>
      <c r="B3694" s="4"/>
      <c r="C3694" s="4"/>
      <c r="D3694" s="4"/>
      <c r="E3694" s="4"/>
      <c r="F3694" s="4"/>
      <c r="G3694" s="4"/>
      <c r="H3694" s="4"/>
      <c r="I3694" s="4"/>
      <c r="J3694" s="4"/>
      <c r="K3694" s="4"/>
      <c r="L3694" s="4"/>
      <c r="M3694" s="4"/>
      <c r="N3694" s="4"/>
      <c r="O3694" s="4"/>
      <c r="P3694" s="4"/>
      <c r="Q3694" s="4"/>
      <c r="R3694" s="4"/>
      <c r="S3694" s="4"/>
      <c r="T3694" s="4"/>
      <c r="U3694" s="4"/>
      <c r="V3694" s="4"/>
      <c r="W3694" s="4"/>
      <c r="X3694" s="4"/>
      <c r="Y3694" s="4"/>
      <c r="Z3694" s="4"/>
      <c r="AA3694" s="4"/>
      <c r="AB3694" s="5"/>
    </row>
    <row r="3695" spans="1:28" x14ac:dyDescent="0.35">
      <c r="A3695" s="3"/>
      <c r="B3695" s="4"/>
      <c r="C3695" s="4"/>
      <c r="D3695" s="4"/>
      <c r="E3695" s="4"/>
      <c r="F3695" s="4"/>
      <c r="G3695" s="4"/>
      <c r="H3695" s="4"/>
      <c r="I3695" s="4"/>
      <c r="J3695" s="4"/>
      <c r="K3695" s="4"/>
      <c r="L3695" s="4"/>
      <c r="M3695" s="4"/>
      <c r="N3695" s="4"/>
      <c r="O3695" s="4"/>
      <c r="P3695" s="4"/>
      <c r="Q3695" s="4"/>
      <c r="R3695" s="4"/>
      <c r="S3695" s="4"/>
      <c r="T3695" s="4"/>
      <c r="U3695" s="4"/>
      <c r="V3695" s="4"/>
      <c r="W3695" s="4"/>
      <c r="X3695" s="4"/>
      <c r="Y3695" s="4"/>
      <c r="Z3695" s="4"/>
      <c r="AA3695" s="4"/>
      <c r="AB3695" s="5"/>
    </row>
    <row r="3696" spans="1:28" x14ac:dyDescent="0.35">
      <c r="A3696" s="3"/>
      <c r="B3696" s="4"/>
      <c r="C3696" s="4"/>
      <c r="D3696" s="4"/>
      <c r="E3696" s="4"/>
      <c r="F3696" s="4"/>
      <c r="G3696" s="4"/>
      <c r="H3696" s="4"/>
      <c r="I3696" s="4"/>
      <c r="J3696" s="4"/>
      <c r="K3696" s="4"/>
      <c r="L3696" s="4"/>
      <c r="M3696" s="4"/>
      <c r="N3696" s="4"/>
      <c r="O3696" s="4"/>
      <c r="P3696" s="4"/>
      <c r="Q3696" s="4"/>
      <c r="R3696" s="4"/>
      <c r="S3696" s="4"/>
      <c r="T3696" s="4"/>
      <c r="U3696" s="4"/>
      <c r="V3696" s="4"/>
      <c r="W3696" s="4"/>
      <c r="X3696" s="4"/>
      <c r="Y3696" s="4"/>
      <c r="Z3696" s="4"/>
      <c r="AA3696" s="4"/>
      <c r="AB3696" s="5"/>
    </row>
    <row r="3697" spans="1:28" x14ac:dyDescent="0.35">
      <c r="A3697" s="3"/>
      <c r="B3697" s="4"/>
      <c r="C3697" s="4"/>
      <c r="D3697" s="4"/>
      <c r="E3697" s="4"/>
      <c r="F3697" s="4"/>
      <c r="G3697" s="4"/>
      <c r="H3697" s="4"/>
      <c r="I3697" s="4"/>
      <c r="J3697" s="4"/>
      <c r="K3697" s="4"/>
      <c r="L3697" s="4"/>
      <c r="M3697" s="4"/>
      <c r="N3697" s="4"/>
      <c r="O3697" s="4"/>
      <c r="P3697" s="4"/>
      <c r="Q3697" s="4"/>
      <c r="R3697" s="4"/>
      <c r="S3697" s="4"/>
      <c r="T3697" s="4"/>
      <c r="U3697" s="4"/>
      <c r="V3697" s="4"/>
      <c r="W3697" s="4"/>
      <c r="X3697" s="4"/>
      <c r="Y3697" s="4"/>
      <c r="Z3697" s="4"/>
      <c r="AA3697" s="4"/>
      <c r="AB3697" s="5"/>
    </row>
    <row r="3698" spans="1:28" x14ac:dyDescent="0.35">
      <c r="A3698" s="3"/>
      <c r="B3698" s="4"/>
      <c r="C3698" s="4"/>
      <c r="D3698" s="4"/>
      <c r="E3698" s="4"/>
      <c r="F3698" s="4"/>
      <c r="G3698" s="4"/>
      <c r="H3698" s="4"/>
      <c r="I3698" s="4"/>
      <c r="J3698" s="4"/>
      <c r="K3698" s="4"/>
      <c r="L3698" s="4"/>
      <c r="M3698" s="4"/>
      <c r="N3698" s="4"/>
      <c r="O3698" s="4"/>
      <c r="P3698" s="4"/>
      <c r="Q3698" s="4"/>
      <c r="R3698" s="4"/>
      <c r="S3698" s="4"/>
      <c r="T3698" s="4"/>
      <c r="U3698" s="4"/>
      <c r="V3698" s="4"/>
      <c r="W3698" s="4"/>
      <c r="X3698" s="4"/>
      <c r="Y3698" s="4"/>
      <c r="Z3698" s="4"/>
      <c r="AA3698" s="4"/>
      <c r="AB3698" s="5"/>
    </row>
    <row r="3699" spans="1:28" x14ac:dyDescent="0.35">
      <c r="A3699" s="3"/>
      <c r="B3699" s="4"/>
      <c r="C3699" s="4"/>
      <c r="D3699" s="4"/>
      <c r="E3699" s="4"/>
      <c r="F3699" s="4"/>
      <c r="G3699" s="4"/>
      <c r="H3699" s="4"/>
      <c r="I3699" s="4"/>
      <c r="J3699" s="4"/>
      <c r="K3699" s="4"/>
      <c r="L3699" s="4"/>
      <c r="M3699" s="4"/>
      <c r="N3699" s="4"/>
      <c r="O3699" s="4"/>
      <c r="P3699" s="4"/>
      <c r="Q3699" s="4"/>
      <c r="R3699" s="4"/>
      <c r="S3699" s="4"/>
      <c r="T3699" s="4"/>
      <c r="U3699" s="4"/>
      <c r="V3699" s="4"/>
      <c r="W3699" s="4"/>
      <c r="X3699" s="4"/>
      <c r="Y3699" s="4"/>
      <c r="Z3699" s="4"/>
      <c r="AA3699" s="4"/>
      <c r="AB3699" s="5"/>
    </row>
    <row r="3700" spans="1:28" x14ac:dyDescent="0.35">
      <c r="A3700" s="3"/>
      <c r="B3700" s="4"/>
      <c r="C3700" s="4"/>
      <c r="D3700" s="4"/>
      <c r="E3700" s="4"/>
      <c r="F3700" s="4"/>
      <c r="G3700" s="4"/>
      <c r="H3700" s="4"/>
      <c r="I3700" s="4"/>
      <c r="J3700" s="4"/>
      <c r="K3700" s="4"/>
      <c r="L3700" s="4"/>
      <c r="M3700" s="4"/>
      <c r="N3700" s="4"/>
      <c r="O3700" s="4"/>
      <c r="P3700" s="4"/>
      <c r="Q3700" s="4"/>
      <c r="R3700" s="4"/>
      <c r="S3700" s="4"/>
      <c r="T3700" s="4"/>
      <c r="U3700" s="4"/>
      <c r="V3700" s="4"/>
      <c r="W3700" s="4"/>
      <c r="X3700" s="4"/>
      <c r="Y3700" s="4"/>
      <c r="Z3700" s="4"/>
      <c r="AA3700" s="4"/>
      <c r="AB3700" s="5"/>
    </row>
    <row r="3701" spans="1:28" x14ac:dyDescent="0.35">
      <c r="A3701" s="3"/>
      <c r="B3701" s="4"/>
      <c r="C3701" s="4"/>
      <c r="D3701" s="4"/>
      <c r="E3701" s="4"/>
      <c r="F3701" s="4"/>
      <c r="G3701" s="4"/>
      <c r="H3701" s="4"/>
      <c r="I3701" s="4"/>
      <c r="J3701" s="4"/>
      <c r="K3701" s="4"/>
      <c r="L3701" s="4"/>
      <c r="M3701" s="4"/>
      <c r="N3701" s="4"/>
      <c r="O3701" s="4"/>
      <c r="P3701" s="4"/>
      <c r="Q3701" s="4"/>
      <c r="R3701" s="4"/>
      <c r="S3701" s="4"/>
      <c r="T3701" s="4"/>
      <c r="U3701" s="4"/>
      <c r="V3701" s="4"/>
      <c r="W3701" s="4"/>
      <c r="X3701" s="4"/>
      <c r="Y3701" s="4"/>
      <c r="Z3701" s="4"/>
      <c r="AA3701" s="4"/>
      <c r="AB3701" s="5"/>
    </row>
    <row r="3702" spans="1:28" x14ac:dyDescent="0.35">
      <c r="A3702" s="3"/>
      <c r="B3702" s="4"/>
      <c r="C3702" s="4"/>
      <c r="D3702" s="4"/>
      <c r="E3702" s="4"/>
      <c r="F3702" s="4"/>
      <c r="G3702" s="4"/>
      <c r="H3702" s="4"/>
      <c r="I3702" s="4"/>
      <c r="J3702" s="4"/>
      <c r="K3702" s="4"/>
      <c r="L3702" s="4"/>
      <c r="M3702" s="4"/>
      <c r="N3702" s="4"/>
      <c r="O3702" s="4"/>
      <c r="P3702" s="4"/>
      <c r="Q3702" s="4"/>
      <c r="R3702" s="4"/>
      <c r="S3702" s="4"/>
      <c r="T3702" s="4"/>
      <c r="U3702" s="4"/>
      <c r="V3702" s="4"/>
      <c r="W3702" s="4"/>
      <c r="X3702" s="4"/>
      <c r="Y3702" s="4"/>
      <c r="Z3702" s="4"/>
      <c r="AA3702" s="4"/>
      <c r="AB3702" s="5"/>
    </row>
    <row r="3703" spans="1:28" x14ac:dyDescent="0.35">
      <c r="A3703" s="3"/>
      <c r="B3703" s="4"/>
      <c r="C3703" s="4"/>
      <c r="D3703" s="4"/>
      <c r="E3703" s="4"/>
      <c r="F3703" s="4"/>
      <c r="G3703" s="4"/>
      <c r="H3703" s="4"/>
      <c r="I3703" s="4"/>
      <c r="J3703" s="4"/>
      <c r="K3703" s="4"/>
      <c r="L3703" s="4"/>
      <c r="M3703" s="4"/>
      <c r="N3703" s="4"/>
      <c r="O3703" s="4"/>
      <c r="P3703" s="4"/>
      <c r="Q3703" s="4"/>
      <c r="R3703" s="4"/>
      <c r="S3703" s="4"/>
      <c r="T3703" s="4"/>
      <c r="U3703" s="4"/>
      <c r="V3703" s="4"/>
      <c r="W3703" s="4"/>
      <c r="X3703" s="4"/>
      <c r="Y3703" s="4"/>
      <c r="Z3703" s="4"/>
      <c r="AA3703" s="4"/>
      <c r="AB3703" s="5"/>
    </row>
    <row r="3704" spans="1:28" x14ac:dyDescent="0.35">
      <c r="A3704" s="3"/>
      <c r="B3704" s="4"/>
      <c r="C3704" s="4"/>
      <c r="D3704" s="4"/>
      <c r="E3704" s="4"/>
      <c r="F3704" s="4"/>
      <c r="G3704" s="4"/>
      <c r="H3704" s="4"/>
      <c r="I3704" s="4"/>
      <c r="J3704" s="4"/>
      <c r="K3704" s="4"/>
      <c r="L3704" s="4"/>
      <c r="M3704" s="4"/>
      <c r="N3704" s="4"/>
      <c r="O3704" s="4"/>
      <c r="P3704" s="4"/>
      <c r="Q3704" s="4"/>
      <c r="R3704" s="4"/>
      <c r="S3704" s="4"/>
      <c r="T3704" s="4"/>
      <c r="U3704" s="4"/>
      <c r="V3704" s="4"/>
      <c r="W3704" s="4"/>
      <c r="X3704" s="4"/>
      <c r="Y3704" s="4"/>
      <c r="Z3704" s="4"/>
      <c r="AA3704" s="4"/>
      <c r="AB3704" s="5"/>
    </row>
    <row r="3705" spans="1:28" x14ac:dyDescent="0.35">
      <c r="A3705" s="3"/>
      <c r="B3705" s="4"/>
      <c r="C3705" s="4"/>
      <c r="D3705" s="4"/>
      <c r="E3705" s="4"/>
      <c r="F3705" s="4"/>
      <c r="G3705" s="4"/>
      <c r="H3705" s="4"/>
      <c r="I3705" s="4"/>
      <c r="J3705" s="4"/>
      <c r="K3705" s="4"/>
      <c r="L3705" s="4"/>
      <c r="M3705" s="4"/>
      <c r="N3705" s="4"/>
      <c r="O3705" s="4"/>
      <c r="P3705" s="4"/>
      <c r="Q3705" s="4"/>
      <c r="R3705" s="4"/>
      <c r="S3705" s="4"/>
      <c r="T3705" s="4"/>
      <c r="U3705" s="4"/>
      <c r="V3705" s="4"/>
      <c r="W3705" s="4"/>
      <c r="X3705" s="4"/>
      <c r="Y3705" s="4"/>
      <c r="Z3705" s="4"/>
      <c r="AA3705" s="4"/>
      <c r="AB3705" s="5"/>
    </row>
    <row r="3706" spans="1:28" x14ac:dyDescent="0.35">
      <c r="A3706" s="3"/>
      <c r="B3706" s="4"/>
      <c r="C3706" s="4"/>
      <c r="D3706" s="4"/>
      <c r="E3706" s="4"/>
      <c r="F3706" s="4"/>
      <c r="G3706" s="4"/>
      <c r="H3706" s="4"/>
      <c r="I3706" s="4"/>
      <c r="J3706" s="4"/>
      <c r="K3706" s="4"/>
      <c r="L3706" s="4"/>
      <c r="M3706" s="4"/>
      <c r="N3706" s="4"/>
      <c r="O3706" s="4"/>
      <c r="P3706" s="4"/>
      <c r="Q3706" s="4"/>
      <c r="R3706" s="4"/>
      <c r="S3706" s="4"/>
      <c r="T3706" s="4"/>
      <c r="U3706" s="4"/>
      <c r="V3706" s="4"/>
      <c r="W3706" s="4"/>
      <c r="X3706" s="4"/>
      <c r="Y3706" s="4"/>
      <c r="Z3706" s="4"/>
      <c r="AA3706" s="4"/>
      <c r="AB3706" s="5"/>
    </row>
    <row r="3707" spans="1:28" x14ac:dyDescent="0.35">
      <c r="A3707" s="3"/>
      <c r="B3707" s="4"/>
      <c r="C3707" s="4"/>
      <c r="D3707" s="4"/>
      <c r="E3707" s="4"/>
      <c r="F3707" s="4"/>
      <c r="G3707" s="4"/>
      <c r="H3707" s="4"/>
      <c r="I3707" s="4"/>
      <c r="J3707" s="4"/>
      <c r="K3707" s="4"/>
      <c r="L3707" s="4"/>
      <c r="M3707" s="4"/>
      <c r="N3707" s="4"/>
      <c r="O3707" s="4"/>
      <c r="P3707" s="4"/>
      <c r="Q3707" s="4"/>
      <c r="R3707" s="4"/>
      <c r="S3707" s="4"/>
      <c r="T3707" s="4"/>
      <c r="U3707" s="4"/>
      <c r="V3707" s="4"/>
      <c r="W3707" s="4"/>
      <c r="X3707" s="4"/>
      <c r="Y3707" s="4"/>
      <c r="Z3707" s="4"/>
      <c r="AA3707" s="4"/>
      <c r="AB3707" s="5"/>
    </row>
    <row r="3708" spans="1:28" x14ac:dyDescent="0.35">
      <c r="A3708" s="3"/>
      <c r="B3708" s="4"/>
      <c r="C3708" s="4"/>
      <c r="D3708" s="4"/>
      <c r="E3708" s="4"/>
      <c r="F3708" s="4"/>
      <c r="G3708" s="4"/>
      <c r="H3708" s="4"/>
      <c r="I3708" s="4"/>
      <c r="J3708" s="4"/>
      <c r="K3708" s="4"/>
      <c r="L3708" s="4"/>
      <c r="M3708" s="4"/>
      <c r="N3708" s="4"/>
      <c r="O3708" s="4"/>
      <c r="P3708" s="4"/>
      <c r="Q3708" s="4"/>
      <c r="R3708" s="4"/>
      <c r="S3708" s="4"/>
      <c r="T3708" s="4"/>
      <c r="U3708" s="4"/>
      <c r="V3708" s="4"/>
      <c r="W3708" s="4"/>
      <c r="X3708" s="4"/>
      <c r="Y3708" s="4"/>
      <c r="Z3708" s="4"/>
      <c r="AA3708" s="4"/>
      <c r="AB3708" s="5"/>
    </row>
    <row r="3709" spans="1:28" x14ac:dyDescent="0.35">
      <c r="A3709" s="3"/>
      <c r="B3709" s="4"/>
      <c r="C3709" s="4"/>
      <c r="D3709" s="4"/>
      <c r="E3709" s="4"/>
      <c r="F3709" s="4"/>
      <c r="G3709" s="4"/>
      <c r="H3709" s="4"/>
      <c r="I3709" s="4"/>
      <c r="J3709" s="4"/>
      <c r="K3709" s="4"/>
      <c r="L3709" s="4"/>
      <c r="M3709" s="4"/>
      <c r="N3709" s="4"/>
      <c r="O3709" s="4"/>
      <c r="P3709" s="4"/>
      <c r="Q3709" s="4"/>
      <c r="R3709" s="4"/>
      <c r="S3709" s="4"/>
      <c r="T3709" s="4"/>
      <c r="U3709" s="4"/>
      <c r="V3709" s="4"/>
      <c r="W3709" s="4"/>
      <c r="X3709" s="4"/>
      <c r="Y3709" s="4"/>
      <c r="Z3709" s="4"/>
      <c r="AA3709" s="4"/>
      <c r="AB3709" s="5"/>
    </row>
    <row r="3710" spans="1:28" x14ac:dyDescent="0.35">
      <c r="A3710" s="3"/>
      <c r="B3710" s="4"/>
      <c r="C3710" s="4"/>
      <c r="D3710" s="4"/>
      <c r="E3710" s="4"/>
      <c r="F3710" s="4"/>
      <c r="G3710" s="4"/>
      <c r="H3710" s="4"/>
      <c r="I3710" s="4"/>
      <c r="J3710" s="4"/>
      <c r="K3710" s="4"/>
      <c r="L3710" s="4"/>
      <c r="M3710" s="4"/>
      <c r="N3710" s="4"/>
      <c r="O3710" s="4"/>
      <c r="P3710" s="4"/>
      <c r="Q3710" s="4"/>
      <c r="R3710" s="4"/>
      <c r="S3710" s="4"/>
      <c r="T3710" s="4"/>
      <c r="U3710" s="4"/>
      <c r="V3710" s="4"/>
      <c r="W3710" s="4"/>
      <c r="X3710" s="4"/>
      <c r="Y3710" s="4"/>
      <c r="Z3710" s="4"/>
      <c r="AA3710" s="4"/>
      <c r="AB3710" s="5"/>
    </row>
    <row r="3711" spans="1:28" x14ac:dyDescent="0.35">
      <c r="A3711" s="3"/>
      <c r="B3711" s="4"/>
      <c r="C3711" s="4"/>
      <c r="D3711" s="4"/>
      <c r="E3711" s="4"/>
      <c r="F3711" s="4"/>
      <c r="G3711" s="4"/>
      <c r="H3711" s="4"/>
      <c r="I3711" s="4"/>
      <c r="J3711" s="4"/>
      <c r="K3711" s="4"/>
      <c r="L3711" s="4"/>
      <c r="M3711" s="4"/>
      <c r="N3711" s="4"/>
      <c r="O3711" s="4"/>
      <c r="P3711" s="4"/>
      <c r="Q3711" s="4"/>
      <c r="R3711" s="4"/>
      <c r="S3711" s="4"/>
      <c r="T3711" s="4"/>
      <c r="U3711" s="4"/>
      <c r="V3711" s="4"/>
      <c r="W3711" s="4"/>
      <c r="X3711" s="4"/>
      <c r="Y3711" s="4"/>
      <c r="Z3711" s="4"/>
      <c r="AA3711" s="4"/>
      <c r="AB3711" s="5"/>
    </row>
    <row r="3712" spans="1:28" x14ac:dyDescent="0.35">
      <c r="A3712" s="3"/>
      <c r="B3712" s="4"/>
      <c r="C3712" s="4"/>
      <c r="D3712" s="4"/>
      <c r="E3712" s="4"/>
      <c r="F3712" s="4"/>
      <c r="G3712" s="4"/>
      <c r="H3712" s="4"/>
      <c r="I3712" s="4"/>
      <c r="J3712" s="4"/>
      <c r="K3712" s="4"/>
      <c r="L3712" s="4"/>
      <c r="M3712" s="4"/>
      <c r="N3712" s="4"/>
      <c r="O3712" s="4"/>
      <c r="P3712" s="4"/>
      <c r="Q3712" s="4"/>
      <c r="R3712" s="4"/>
      <c r="S3712" s="4"/>
      <c r="T3712" s="4"/>
      <c r="U3712" s="4"/>
      <c r="V3712" s="4"/>
      <c r="W3712" s="4"/>
      <c r="X3712" s="4"/>
      <c r="Y3712" s="4"/>
      <c r="Z3712" s="4"/>
      <c r="AA3712" s="4"/>
      <c r="AB3712" s="5"/>
    </row>
    <row r="3713" spans="1:28" x14ac:dyDescent="0.35">
      <c r="A3713" s="3"/>
      <c r="B3713" s="4"/>
      <c r="C3713" s="4"/>
      <c r="D3713" s="4"/>
      <c r="E3713" s="4"/>
      <c r="F3713" s="4"/>
      <c r="G3713" s="4"/>
      <c r="H3713" s="4"/>
      <c r="I3713" s="4"/>
      <c r="J3713" s="4"/>
      <c r="K3713" s="4"/>
      <c r="L3713" s="4"/>
      <c r="M3713" s="4"/>
      <c r="N3713" s="4"/>
      <c r="O3713" s="4"/>
      <c r="P3713" s="4"/>
      <c r="Q3713" s="4"/>
      <c r="R3713" s="4"/>
      <c r="S3713" s="4"/>
      <c r="T3713" s="4"/>
      <c r="U3713" s="4"/>
      <c r="V3713" s="4"/>
      <c r="W3713" s="4"/>
      <c r="X3713" s="4"/>
      <c r="Y3713" s="4"/>
      <c r="Z3713" s="4"/>
      <c r="AA3713" s="4"/>
      <c r="AB3713" s="5"/>
    </row>
    <row r="3714" spans="1:28" x14ac:dyDescent="0.35">
      <c r="A3714" s="3"/>
      <c r="B3714" s="4"/>
      <c r="C3714" s="4"/>
      <c r="D3714" s="4"/>
      <c r="E3714" s="4"/>
      <c r="F3714" s="4"/>
      <c r="G3714" s="4"/>
      <c r="H3714" s="4"/>
      <c r="I3714" s="4"/>
      <c r="J3714" s="4"/>
      <c r="K3714" s="4"/>
      <c r="L3714" s="4"/>
      <c r="M3714" s="4"/>
      <c r="N3714" s="4"/>
      <c r="O3714" s="4"/>
      <c r="P3714" s="4"/>
      <c r="Q3714" s="4"/>
      <c r="R3714" s="4"/>
      <c r="S3714" s="4"/>
      <c r="T3714" s="4"/>
      <c r="U3714" s="4"/>
      <c r="V3714" s="4"/>
      <c r="W3714" s="4"/>
      <c r="X3714" s="4"/>
      <c r="Y3714" s="4"/>
      <c r="Z3714" s="4"/>
      <c r="AA3714" s="4"/>
      <c r="AB3714" s="5"/>
    </row>
    <row r="3715" spans="1:28" x14ac:dyDescent="0.35">
      <c r="A3715" s="3"/>
      <c r="B3715" s="4"/>
      <c r="C3715" s="4"/>
      <c r="D3715" s="4"/>
      <c r="E3715" s="4"/>
      <c r="F3715" s="4"/>
      <c r="G3715" s="4"/>
      <c r="H3715" s="4"/>
      <c r="I3715" s="4"/>
      <c r="J3715" s="4"/>
      <c r="K3715" s="4"/>
      <c r="L3715" s="4"/>
      <c r="M3715" s="4"/>
      <c r="N3715" s="4"/>
      <c r="O3715" s="4"/>
      <c r="P3715" s="4"/>
      <c r="Q3715" s="4"/>
      <c r="R3715" s="4"/>
      <c r="S3715" s="4"/>
      <c r="T3715" s="4"/>
      <c r="U3715" s="4"/>
      <c r="V3715" s="4"/>
      <c r="W3715" s="4"/>
      <c r="X3715" s="4"/>
      <c r="Y3715" s="4"/>
      <c r="Z3715" s="4"/>
      <c r="AA3715" s="4"/>
      <c r="AB3715" s="5"/>
    </row>
    <row r="3716" spans="1:28" x14ac:dyDescent="0.35">
      <c r="A3716" s="3"/>
      <c r="B3716" s="4"/>
      <c r="C3716" s="4"/>
      <c r="D3716" s="4"/>
      <c r="E3716" s="4"/>
      <c r="F3716" s="4"/>
      <c r="G3716" s="4"/>
      <c r="H3716" s="4"/>
      <c r="I3716" s="4"/>
      <c r="J3716" s="4"/>
      <c r="K3716" s="4"/>
      <c r="L3716" s="4"/>
      <c r="M3716" s="4"/>
      <c r="N3716" s="4"/>
      <c r="O3716" s="4"/>
      <c r="P3716" s="4"/>
      <c r="Q3716" s="4"/>
      <c r="R3716" s="4"/>
      <c r="S3716" s="4"/>
      <c r="T3716" s="4"/>
      <c r="U3716" s="4"/>
      <c r="V3716" s="4"/>
      <c r="W3716" s="4"/>
      <c r="X3716" s="4"/>
      <c r="Y3716" s="4"/>
      <c r="Z3716" s="4"/>
      <c r="AA3716" s="4"/>
      <c r="AB3716" s="5"/>
    </row>
    <row r="3717" spans="1:28" x14ac:dyDescent="0.35">
      <c r="A3717" s="3"/>
      <c r="B3717" s="4"/>
      <c r="C3717" s="4"/>
      <c r="D3717" s="4"/>
      <c r="E3717" s="4"/>
      <c r="F3717" s="4"/>
      <c r="G3717" s="4"/>
      <c r="H3717" s="4"/>
      <c r="I3717" s="4"/>
      <c r="J3717" s="4"/>
      <c r="K3717" s="4"/>
      <c r="L3717" s="4"/>
      <c r="M3717" s="4"/>
      <c r="N3717" s="4"/>
      <c r="O3717" s="4"/>
      <c r="P3717" s="4"/>
      <c r="Q3717" s="4"/>
      <c r="R3717" s="4"/>
      <c r="S3717" s="4"/>
      <c r="T3717" s="4"/>
      <c r="U3717" s="4"/>
      <c r="V3717" s="4"/>
      <c r="W3717" s="4"/>
      <c r="X3717" s="4"/>
      <c r="Y3717" s="4"/>
      <c r="Z3717" s="4"/>
      <c r="AA3717" s="4"/>
      <c r="AB3717" s="5"/>
    </row>
    <row r="3718" spans="1:28" x14ac:dyDescent="0.35">
      <c r="A3718" s="3"/>
      <c r="B3718" s="4"/>
      <c r="C3718" s="4"/>
      <c r="D3718" s="4"/>
      <c r="E3718" s="4"/>
      <c r="F3718" s="4"/>
      <c r="G3718" s="4"/>
      <c r="H3718" s="4"/>
      <c r="I3718" s="4"/>
      <c r="J3718" s="4"/>
      <c r="K3718" s="4"/>
      <c r="L3718" s="4"/>
      <c r="M3718" s="4"/>
      <c r="N3718" s="4"/>
      <c r="O3718" s="4"/>
      <c r="P3718" s="4"/>
      <c r="Q3718" s="4"/>
      <c r="R3718" s="4"/>
      <c r="S3718" s="4"/>
      <c r="T3718" s="4"/>
      <c r="U3718" s="4"/>
      <c r="V3718" s="4"/>
      <c r="W3718" s="4"/>
      <c r="X3718" s="4"/>
      <c r="Y3718" s="4"/>
      <c r="Z3718" s="4"/>
      <c r="AA3718" s="4"/>
      <c r="AB3718" s="5"/>
    </row>
    <row r="3719" spans="1:28" x14ac:dyDescent="0.35">
      <c r="A3719" s="3"/>
      <c r="B3719" s="4"/>
      <c r="C3719" s="4"/>
      <c r="D3719" s="4"/>
      <c r="E3719" s="4"/>
      <c r="F3719" s="4"/>
      <c r="G3719" s="4"/>
      <c r="H3719" s="4"/>
      <c r="I3719" s="4"/>
      <c r="J3719" s="4"/>
      <c r="K3719" s="4"/>
      <c r="L3719" s="4"/>
      <c r="M3719" s="4"/>
      <c r="N3719" s="4"/>
      <c r="O3719" s="4"/>
      <c r="P3719" s="4"/>
      <c r="Q3719" s="4"/>
      <c r="R3719" s="4"/>
      <c r="S3719" s="4"/>
      <c r="T3719" s="4"/>
      <c r="U3719" s="4"/>
      <c r="V3719" s="4"/>
      <c r="W3719" s="4"/>
      <c r="X3719" s="4"/>
      <c r="Y3719" s="4"/>
      <c r="Z3719" s="4"/>
      <c r="AA3719" s="4"/>
      <c r="AB3719" s="5"/>
    </row>
    <row r="3720" spans="1:28" x14ac:dyDescent="0.35">
      <c r="A3720" s="3"/>
      <c r="B3720" s="4"/>
      <c r="C3720" s="4"/>
      <c r="D3720" s="4"/>
      <c r="E3720" s="4"/>
      <c r="F3720" s="4"/>
      <c r="G3720" s="4"/>
      <c r="H3720" s="4"/>
      <c r="I3720" s="4"/>
      <c r="J3720" s="4"/>
      <c r="K3720" s="4"/>
      <c r="L3720" s="4"/>
      <c r="M3720" s="4"/>
      <c r="N3720" s="4"/>
      <c r="O3720" s="4"/>
      <c r="P3720" s="4"/>
      <c r="Q3720" s="4"/>
      <c r="R3720" s="4"/>
      <c r="S3720" s="4"/>
      <c r="T3720" s="4"/>
      <c r="U3720" s="4"/>
      <c r="V3720" s="4"/>
      <c r="W3720" s="4"/>
      <c r="X3720" s="4"/>
      <c r="Y3720" s="4"/>
      <c r="Z3720" s="4"/>
      <c r="AA3720" s="4"/>
      <c r="AB3720" s="5"/>
    </row>
    <row r="3721" spans="1:28" x14ac:dyDescent="0.35">
      <c r="A3721" s="3"/>
      <c r="B3721" s="4"/>
      <c r="C3721" s="4"/>
      <c r="D3721" s="4"/>
      <c r="E3721" s="4"/>
      <c r="F3721" s="4"/>
      <c r="G3721" s="4"/>
      <c r="H3721" s="4"/>
      <c r="I3721" s="4"/>
      <c r="J3721" s="4"/>
      <c r="K3721" s="4"/>
      <c r="L3721" s="4"/>
      <c r="M3721" s="4"/>
      <c r="N3721" s="4"/>
      <c r="O3721" s="4"/>
      <c r="P3721" s="4"/>
      <c r="Q3721" s="4"/>
      <c r="R3721" s="4"/>
      <c r="S3721" s="4"/>
      <c r="T3721" s="4"/>
      <c r="U3721" s="4"/>
      <c r="V3721" s="4"/>
      <c r="W3721" s="4"/>
      <c r="X3721" s="4"/>
      <c r="Y3721" s="4"/>
      <c r="Z3721" s="4"/>
      <c r="AA3721" s="4"/>
      <c r="AB3721" s="5"/>
    </row>
    <row r="3722" spans="1:28" x14ac:dyDescent="0.35">
      <c r="A3722" s="3"/>
      <c r="B3722" s="4"/>
      <c r="C3722" s="4"/>
      <c r="D3722" s="4"/>
      <c r="E3722" s="4"/>
      <c r="F3722" s="4"/>
      <c r="G3722" s="4"/>
      <c r="H3722" s="4"/>
      <c r="I3722" s="4"/>
      <c r="J3722" s="4"/>
      <c r="K3722" s="4"/>
      <c r="L3722" s="4"/>
      <c r="M3722" s="4"/>
      <c r="N3722" s="4"/>
      <c r="O3722" s="4"/>
      <c r="P3722" s="4"/>
      <c r="Q3722" s="4"/>
      <c r="R3722" s="4"/>
      <c r="S3722" s="4"/>
      <c r="T3722" s="4"/>
      <c r="U3722" s="4"/>
      <c r="V3722" s="4"/>
      <c r="W3722" s="4"/>
      <c r="X3722" s="4"/>
      <c r="Y3722" s="4"/>
      <c r="Z3722" s="4"/>
      <c r="AA3722" s="4"/>
      <c r="AB3722" s="5"/>
    </row>
    <row r="3723" spans="1:28" x14ac:dyDescent="0.35">
      <c r="A3723" s="3"/>
      <c r="B3723" s="4"/>
      <c r="C3723" s="4"/>
      <c r="D3723" s="4"/>
      <c r="E3723" s="4"/>
      <c r="F3723" s="4"/>
      <c r="G3723" s="4"/>
      <c r="H3723" s="4"/>
      <c r="I3723" s="4"/>
      <c r="J3723" s="4"/>
      <c r="K3723" s="4"/>
      <c r="L3723" s="4"/>
      <c r="M3723" s="4"/>
      <c r="N3723" s="4"/>
      <c r="O3723" s="4"/>
      <c r="P3723" s="4"/>
      <c r="Q3723" s="4"/>
      <c r="R3723" s="4"/>
      <c r="S3723" s="4"/>
      <c r="T3723" s="4"/>
      <c r="U3723" s="4"/>
      <c r="V3723" s="4"/>
      <c r="W3723" s="4"/>
      <c r="X3723" s="4"/>
      <c r="Y3723" s="4"/>
      <c r="Z3723" s="4"/>
      <c r="AA3723" s="4"/>
      <c r="AB3723" s="5"/>
    </row>
    <row r="3724" spans="1:28" x14ac:dyDescent="0.35">
      <c r="A3724" s="3"/>
      <c r="B3724" s="4"/>
      <c r="C3724" s="4"/>
      <c r="D3724" s="4"/>
      <c r="E3724" s="4"/>
      <c r="F3724" s="4"/>
      <c r="G3724" s="4"/>
      <c r="H3724" s="4"/>
      <c r="I3724" s="4"/>
      <c r="J3724" s="4"/>
      <c r="K3724" s="4"/>
      <c r="L3724" s="4"/>
      <c r="M3724" s="4"/>
      <c r="N3724" s="4"/>
      <c r="O3724" s="4"/>
      <c r="P3724" s="4"/>
      <c r="Q3724" s="4"/>
      <c r="R3724" s="4"/>
      <c r="S3724" s="4"/>
      <c r="T3724" s="4"/>
      <c r="U3724" s="4"/>
      <c r="V3724" s="4"/>
      <c r="W3724" s="4"/>
      <c r="X3724" s="4"/>
      <c r="Y3724" s="4"/>
      <c r="Z3724" s="4"/>
      <c r="AA3724" s="4"/>
      <c r="AB3724" s="5"/>
    </row>
    <row r="3725" spans="1:28" x14ac:dyDescent="0.35">
      <c r="A3725" s="3"/>
      <c r="B3725" s="4"/>
      <c r="C3725" s="4"/>
      <c r="D3725" s="4"/>
      <c r="E3725" s="4"/>
      <c r="F3725" s="4"/>
      <c r="G3725" s="4"/>
      <c r="H3725" s="4"/>
      <c r="I3725" s="4"/>
      <c r="J3725" s="4"/>
      <c r="K3725" s="4"/>
      <c r="L3725" s="4"/>
      <c r="M3725" s="4"/>
      <c r="N3725" s="4"/>
      <c r="O3725" s="4"/>
      <c r="P3725" s="4"/>
      <c r="Q3725" s="4"/>
      <c r="R3725" s="4"/>
      <c r="S3725" s="4"/>
      <c r="T3725" s="4"/>
      <c r="U3725" s="4"/>
      <c r="V3725" s="4"/>
      <c r="W3725" s="4"/>
      <c r="X3725" s="4"/>
      <c r="Y3725" s="4"/>
      <c r="Z3725" s="4"/>
      <c r="AA3725" s="4"/>
      <c r="AB3725" s="5"/>
    </row>
    <row r="3726" spans="1:28" x14ac:dyDescent="0.35">
      <c r="A3726" s="3"/>
      <c r="B3726" s="4"/>
      <c r="C3726" s="4"/>
      <c r="D3726" s="4"/>
      <c r="E3726" s="4"/>
      <c r="F3726" s="4"/>
      <c r="G3726" s="4"/>
      <c r="H3726" s="4"/>
      <c r="I3726" s="4"/>
      <c r="J3726" s="4"/>
      <c r="K3726" s="4"/>
      <c r="L3726" s="4"/>
      <c r="M3726" s="4"/>
      <c r="N3726" s="4"/>
      <c r="O3726" s="4"/>
      <c r="P3726" s="4"/>
      <c r="Q3726" s="4"/>
      <c r="R3726" s="4"/>
      <c r="S3726" s="4"/>
      <c r="T3726" s="4"/>
      <c r="U3726" s="4"/>
      <c r="V3726" s="4"/>
      <c r="W3726" s="4"/>
      <c r="X3726" s="4"/>
      <c r="Y3726" s="4"/>
      <c r="Z3726" s="4"/>
      <c r="AA3726" s="4"/>
      <c r="AB3726" s="5"/>
    </row>
    <row r="3727" spans="1:28" x14ac:dyDescent="0.35">
      <c r="A3727" s="3"/>
      <c r="B3727" s="4"/>
      <c r="C3727" s="4"/>
      <c r="D3727" s="4"/>
      <c r="E3727" s="4"/>
      <c r="F3727" s="4"/>
      <c r="G3727" s="4"/>
      <c r="H3727" s="4"/>
      <c r="I3727" s="4"/>
      <c r="J3727" s="4"/>
      <c r="K3727" s="4"/>
      <c r="L3727" s="4"/>
      <c r="M3727" s="4"/>
      <c r="N3727" s="4"/>
      <c r="O3727" s="4"/>
      <c r="P3727" s="4"/>
      <c r="Q3727" s="4"/>
      <c r="R3727" s="4"/>
      <c r="S3727" s="4"/>
      <c r="T3727" s="4"/>
      <c r="U3727" s="4"/>
      <c r="V3727" s="4"/>
      <c r="W3727" s="4"/>
      <c r="X3727" s="4"/>
      <c r="Y3727" s="4"/>
      <c r="Z3727" s="4"/>
      <c r="AA3727" s="4"/>
      <c r="AB3727" s="5"/>
    </row>
    <row r="3728" spans="1:28" x14ac:dyDescent="0.35">
      <c r="A3728" s="3"/>
      <c r="B3728" s="4"/>
      <c r="C3728" s="4"/>
      <c r="D3728" s="4"/>
      <c r="E3728" s="4"/>
      <c r="F3728" s="4"/>
      <c r="G3728" s="4"/>
      <c r="H3728" s="4"/>
      <c r="I3728" s="4"/>
      <c r="J3728" s="4"/>
      <c r="K3728" s="4"/>
      <c r="L3728" s="4"/>
      <c r="M3728" s="4"/>
      <c r="N3728" s="4"/>
      <c r="O3728" s="4"/>
      <c r="P3728" s="4"/>
      <c r="Q3728" s="4"/>
      <c r="R3728" s="4"/>
      <c r="S3728" s="4"/>
      <c r="T3728" s="4"/>
      <c r="U3728" s="4"/>
      <c r="V3728" s="4"/>
      <c r="W3728" s="4"/>
      <c r="X3728" s="4"/>
      <c r="Y3728" s="4"/>
      <c r="Z3728" s="4"/>
      <c r="AA3728" s="4"/>
      <c r="AB3728" s="5"/>
    </row>
    <row r="3729" spans="1:28" x14ac:dyDescent="0.35">
      <c r="A3729" s="3"/>
      <c r="B3729" s="4"/>
      <c r="C3729" s="4"/>
      <c r="D3729" s="4"/>
      <c r="E3729" s="4"/>
      <c r="F3729" s="4"/>
      <c r="G3729" s="4"/>
      <c r="H3729" s="4"/>
      <c r="I3729" s="4"/>
      <c r="J3729" s="4"/>
      <c r="K3729" s="4"/>
      <c r="L3729" s="4"/>
      <c r="M3729" s="4"/>
      <c r="N3729" s="4"/>
      <c r="O3729" s="4"/>
      <c r="P3729" s="4"/>
      <c r="Q3729" s="4"/>
      <c r="R3729" s="4"/>
      <c r="S3729" s="4"/>
      <c r="T3729" s="4"/>
      <c r="U3729" s="4"/>
      <c r="V3729" s="4"/>
      <c r="W3729" s="4"/>
      <c r="X3729" s="4"/>
      <c r="Y3729" s="4"/>
      <c r="Z3729" s="4"/>
      <c r="AA3729" s="4"/>
      <c r="AB3729" s="5"/>
    </row>
    <row r="3730" spans="1:28" x14ac:dyDescent="0.35">
      <c r="A3730" s="3"/>
      <c r="B3730" s="4"/>
      <c r="C3730" s="4"/>
      <c r="D3730" s="4"/>
      <c r="E3730" s="4"/>
      <c r="F3730" s="4"/>
      <c r="G3730" s="4"/>
      <c r="H3730" s="4"/>
      <c r="I3730" s="4"/>
      <c r="J3730" s="4"/>
      <c r="K3730" s="4"/>
      <c r="L3730" s="4"/>
      <c r="M3730" s="4"/>
      <c r="N3730" s="4"/>
      <c r="O3730" s="4"/>
      <c r="P3730" s="4"/>
      <c r="Q3730" s="4"/>
      <c r="R3730" s="4"/>
      <c r="S3730" s="4"/>
      <c r="T3730" s="4"/>
      <c r="U3730" s="4"/>
      <c r="V3730" s="4"/>
      <c r="W3730" s="4"/>
      <c r="X3730" s="4"/>
      <c r="Y3730" s="4"/>
      <c r="Z3730" s="4"/>
      <c r="AA3730" s="4"/>
      <c r="AB3730" s="5"/>
    </row>
    <row r="3731" spans="1:28" x14ac:dyDescent="0.35">
      <c r="A3731" s="3"/>
      <c r="B3731" s="4"/>
      <c r="C3731" s="4"/>
      <c r="D3731" s="4"/>
      <c r="E3731" s="4"/>
      <c r="F3731" s="4"/>
      <c r="G3731" s="4"/>
      <c r="H3731" s="4"/>
      <c r="I3731" s="4"/>
      <c r="J3731" s="4"/>
      <c r="K3731" s="4"/>
      <c r="L3731" s="4"/>
      <c r="M3731" s="4"/>
      <c r="N3731" s="4"/>
      <c r="O3731" s="4"/>
      <c r="P3731" s="4"/>
      <c r="Q3731" s="4"/>
      <c r="R3731" s="4"/>
      <c r="S3731" s="4"/>
      <c r="T3731" s="4"/>
      <c r="U3731" s="4"/>
      <c r="V3731" s="4"/>
      <c r="W3731" s="4"/>
      <c r="X3731" s="4"/>
      <c r="Y3731" s="4"/>
      <c r="Z3731" s="4"/>
      <c r="AA3731" s="4"/>
      <c r="AB3731" s="5"/>
    </row>
    <row r="3732" spans="1:28" x14ac:dyDescent="0.35">
      <c r="A3732" s="3"/>
      <c r="B3732" s="4"/>
      <c r="C3732" s="4"/>
      <c r="D3732" s="4"/>
      <c r="E3732" s="4"/>
      <c r="F3732" s="4"/>
      <c r="G3732" s="4"/>
      <c r="H3732" s="4"/>
      <c r="I3732" s="4"/>
      <c r="J3732" s="4"/>
      <c r="K3732" s="4"/>
      <c r="L3732" s="4"/>
      <c r="M3732" s="4"/>
      <c r="N3732" s="4"/>
      <c r="O3732" s="4"/>
      <c r="P3732" s="4"/>
      <c r="Q3732" s="4"/>
      <c r="R3732" s="4"/>
      <c r="S3732" s="4"/>
      <c r="T3732" s="4"/>
      <c r="U3732" s="4"/>
      <c r="V3732" s="4"/>
      <c r="W3732" s="4"/>
      <c r="X3732" s="4"/>
      <c r="Y3732" s="4"/>
      <c r="Z3732" s="4"/>
      <c r="AA3732" s="4"/>
      <c r="AB3732" s="5"/>
    </row>
    <row r="3733" spans="1:28" x14ac:dyDescent="0.35">
      <c r="A3733" s="3"/>
      <c r="B3733" s="4"/>
      <c r="C3733" s="4"/>
      <c r="D3733" s="4"/>
      <c r="E3733" s="4"/>
      <c r="F3733" s="4"/>
      <c r="G3733" s="4"/>
      <c r="H3733" s="4"/>
      <c r="I3733" s="4"/>
      <c r="J3733" s="4"/>
      <c r="K3733" s="4"/>
      <c r="L3733" s="4"/>
      <c r="M3733" s="4"/>
      <c r="N3733" s="4"/>
      <c r="O3733" s="4"/>
      <c r="P3733" s="4"/>
      <c r="Q3733" s="4"/>
      <c r="R3733" s="4"/>
      <c r="S3733" s="4"/>
      <c r="T3733" s="4"/>
      <c r="U3733" s="4"/>
      <c r="V3733" s="4"/>
      <c r="W3733" s="4"/>
      <c r="X3733" s="4"/>
      <c r="Y3733" s="4"/>
      <c r="Z3733" s="4"/>
      <c r="AA3733" s="4"/>
      <c r="AB3733" s="5"/>
    </row>
    <row r="3734" spans="1:28" x14ac:dyDescent="0.35">
      <c r="A3734" s="3"/>
      <c r="B3734" s="4"/>
      <c r="C3734" s="4"/>
      <c r="D3734" s="4"/>
      <c r="E3734" s="4"/>
      <c r="F3734" s="4"/>
      <c r="G3734" s="4"/>
      <c r="H3734" s="4"/>
      <c r="I3734" s="4"/>
      <c r="J3734" s="4"/>
      <c r="K3734" s="4"/>
      <c r="L3734" s="4"/>
      <c r="M3734" s="4"/>
      <c r="N3734" s="4"/>
      <c r="O3734" s="4"/>
      <c r="P3734" s="4"/>
      <c r="Q3734" s="4"/>
      <c r="R3734" s="4"/>
      <c r="S3734" s="4"/>
      <c r="T3734" s="4"/>
      <c r="U3734" s="4"/>
      <c r="V3734" s="4"/>
      <c r="W3734" s="4"/>
      <c r="X3734" s="4"/>
      <c r="Y3734" s="4"/>
      <c r="Z3734" s="4"/>
      <c r="AA3734" s="4"/>
      <c r="AB3734" s="5"/>
    </row>
    <row r="3735" spans="1:28" x14ac:dyDescent="0.35">
      <c r="A3735" s="3"/>
      <c r="B3735" s="4"/>
      <c r="C3735" s="4"/>
      <c r="D3735" s="4"/>
      <c r="E3735" s="4"/>
      <c r="F3735" s="4"/>
      <c r="G3735" s="4"/>
      <c r="H3735" s="4"/>
      <c r="I3735" s="4"/>
      <c r="J3735" s="4"/>
      <c r="K3735" s="4"/>
      <c r="L3735" s="4"/>
      <c r="M3735" s="4"/>
      <c r="N3735" s="4"/>
      <c r="O3735" s="4"/>
      <c r="P3735" s="4"/>
      <c r="Q3735" s="4"/>
      <c r="R3735" s="4"/>
      <c r="S3735" s="4"/>
      <c r="T3735" s="4"/>
      <c r="U3735" s="4"/>
      <c r="V3735" s="4"/>
      <c r="W3735" s="4"/>
      <c r="X3735" s="4"/>
      <c r="Y3735" s="4"/>
      <c r="Z3735" s="4"/>
      <c r="AA3735" s="4"/>
      <c r="AB3735" s="5"/>
    </row>
    <row r="3736" spans="1:28" x14ac:dyDescent="0.35">
      <c r="A3736" s="3"/>
      <c r="B3736" s="4"/>
      <c r="C3736" s="4"/>
      <c r="D3736" s="4"/>
      <c r="E3736" s="4"/>
      <c r="F3736" s="4"/>
      <c r="G3736" s="4"/>
      <c r="H3736" s="4"/>
      <c r="I3736" s="4"/>
      <c r="J3736" s="4"/>
      <c r="K3736" s="4"/>
      <c r="L3736" s="4"/>
      <c r="M3736" s="4"/>
      <c r="N3736" s="4"/>
      <c r="O3736" s="4"/>
      <c r="P3736" s="4"/>
      <c r="Q3736" s="4"/>
      <c r="R3736" s="4"/>
      <c r="S3736" s="4"/>
      <c r="T3736" s="4"/>
      <c r="U3736" s="4"/>
      <c r="V3736" s="4"/>
      <c r="W3736" s="4"/>
      <c r="X3736" s="4"/>
      <c r="Y3736" s="4"/>
      <c r="Z3736" s="4"/>
      <c r="AA3736" s="4"/>
      <c r="AB3736" s="5"/>
    </row>
    <row r="3737" spans="1:28" x14ac:dyDescent="0.35">
      <c r="A3737" s="3"/>
      <c r="B3737" s="4"/>
      <c r="C3737" s="4"/>
      <c r="D3737" s="4"/>
      <c r="E3737" s="4"/>
      <c r="F3737" s="4"/>
      <c r="G3737" s="4"/>
      <c r="H3737" s="4"/>
      <c r="I3737" s="4"/>
      <c r="J3737" s="4"/>
      <c r="K3737" s="4"/>
      <c r="L3737" s="4"/>
      <c r="M3737" s="4"/>
      <c r="N3737" s="4"/>
      <c r="O3737" s="4"/>
      <c r="P3737" s="4"/>
      <c r="Q3737" s="4"/>
      <c r="R3737" s="4"/>
      <c r="S3737" s="4"/>
      <c r="T3737" s="4"/>
      <c r="U3737" s="4"/>
      <c r="V3737" s="4"/>
      <c r="W3737" s="4"/>
      <c r="X3737" s="4"/>
      <c r="Y3737" s="4"/>
      <c r="Z3737" s="4"/>
      <c r="AA3737" s="4"/>
      <c r="AB3737" s="5"/>
    </row>
    <row r="3738" spans="1:28" x14ac:dyDescent="0.35">
      <c r="A3738" s="3"/>
      <c r="B3738" s="4"/>
      <c r="C3738" s="4"/>
      <c r="D3738" s="4"/>
      <c r="E3738" s="4"/>
      <c r="F3738" s="4"/>
      <c r="G3738" s="4"/>
      <c r="H3738" s="4"/>
      <c r="I3738" s="4"/>
      <c r="J3738" s="4"/>
      <c r="K3738" s="4"/>
      <c r="L3738" s="4"/>
      <c r="M3738" s="4"/>
      <c r="N3738" s="4"/>
      <c r="O3738" s="4"/>
      <c r="P3738" s="4"/>
      <c r="Q3738" s="4"/>
      <c r="R3738" s="4"/>
      <c r="S3738" s="4"/>
      <c r="T3738" s="4"/>
      <c r="U3738" s="4"/>
      <c r="V3738" s="4"/>
      <c r="W3738" s="4"/>
      <c r="X3738" s="4"/>
      <c r="Y3738" s="4"/>
      <c r="Z3738" s="4"/>
      <c r="AA3738" s="4"/>
      <c r="AB3738" s="5"/>
    </row>
    <row r="3739" spans="1:28" x14ac:dyDescent="0.35">
      <c r="A3739" s="3"/>
      <c r="B3739" s="4"/>
      <c r="C3739" s="4"/>
      <c r="D3739" s="4"/>
      <c r="E3739" s="4"/>
      <c r="F3739" s="4"/>
      <c r="G3739" s="4"/>
      <c r="H3739" s="4"/>
      <c r="I3739" s="4"/>
      <c r="J3739" s="4"/>
      <c r="K3739" s="4"/>
      <c r="L3739" s="4"/>
      <c r="M3739" s="4"/>
      <c r="N3739" s="4"/>
      <c r="O3739" s="4"/>
      <c r="P3739" s="4"/>
      <c r="Q3739" s="4"/>
      <c r="R3739" s="4"/>
      <c r="S3739" s="4"/>
      <c r="T3739" s="4"/>
      <c r="U3739" s="4"/>
      <c r="V3739" s="4"/>
      <c r="W3739" s="4"/>
      <c r="X3739" s="4"/>
      <c r="Y3739" s="4"/>
      <c r="Z3739" s="4"/>
      <c r="AA3739" s="4"/>
      <c r="AB3739" s="5"/>
    </row>
    <row r="3740" spans="1:28" x14ac:dyDescent="0.35">
      <c r="A3740" s="3"/>
      <c r="B3740" s="4"/>
      <c r="C3740" s="4"/>
      <c r="D3740" s="4"/>
      <c r="E3740" s="4"/>
      <c r="F3740" s="4"/>
      <c r="G3740" s="4"/>
      <c r="H3740" s="4"/>
      <c r="I3740" s="4"/>
      <c r="J3740" s="4"/>
      <c r="K3740" s="4"/>
      <c r="L3740" s="4"/>
      <c r="M3740" s="4"/>
      <c r="N3740" s="4"/>
      <c r="O3740" s="4"/>
      <c r="P3740" s="4"/>
      <c r="Q3740" s="4"/>
      <c r="R3740" s="4"/>
      <c r="S3740" s="4"/>
      <c r="T3740" s="4"/>
      <c r="U3740" s="4"/>
      <c r="V3740" s="4"/>
      <c r="W3740" s="4"/>
      <c r="X3740" s="4"/>
      <c r="Y3740" s="4"/>
      <c r="Z3740" s="4"/>
      <c r="AA3740" s="4"/>
      <c r="AB3740" s="5"/>
    </row>
    <row r="3741" spans="1:28" x14ac:dyDescent="0.35">
      <c r="A3741" s="3"/>
      <c r="B3741" s="4"/>
      <c r="C3741" s="4"/>
      <c r="D3741" s="4"/>
      <c r="E3741" s="4"/>
      <c r="F3741" s="4"/>
      <c r="G3741" s="4"/>
      <c r="H3741" s="4"/>
      <c r="I3741" s="4"/>
      <c r="J3741" s="4"/>
      <c r="K3741" s="4"/>
      <c r="L3741" s="4"/>
      <c r="M3741" s="4"/>
      <c r="N3741" s="4"/>
      <c r="O3741" s="4"/>
      <c r="P3741" s="4"/>
      <c r="Q3741" s="4"/>
      <c r="R3741" s="4"/>
      <c r="S3741" s="4"/>
      <c r="T3741" s="4"/>
      <c r="U3741" s="4"/>
      <c r="V3741" s="4"/>
      <c r="W3741" s="4"/>
      <c r="X3741" s="4"/>
      <c r="Y3741" s="4"/>
      <c r="Z3741" s="4"/>
      <c r="AA3741" s="4"/>
      <c r="AB3741" s="5"/>
    </row>
    <row r="3742" spans="1:28" x14ac:dyDescent="0.35">
      <c r="A3742" s="3"/>
      <c r="B3742" s="4"/>
      <c r="C3742" s="4"/>
      <c r="D3742" s="4"/>
      <c r="E3742" s="4"/>
      <c r="F3742" s="4"/>
      <c r="G3742" s="4"/>
      <c r="H3742" s="4"/>
      <c r="I3742" s="4"/>
      <c r="J3742" s="4"/>
      <c r="K3742" s="4"/>
      <c r="L3742" s="4"/>
      <c r="M3742" s="4"/>
      <c r="N3742" s="4"/>
      <c r="O3742" s="4"/>
      <c r="P3742" s="4"/>
      <c r="Q3742" s="4"/>
      <c r="R3742" s="4"/>
      <c r="S3742" s="4"/>
      <c r="T3742" s="4"/>
      <c r="U3742" s="4"/>
      <c r="V3742" s="4"/>
      <c r="W3742" s="4"/>
      <c r="X3742" s="4"/>
      <c r="Y3742" s="4"/>
      <c r="Z3742" s="4"/>
      <c r="AA3742" s="4"/>
      <c r="AB3742" s="5"/>
    </row>
    <row r="3743" spans="1:28" x14ac:dyDescent="0.35">
      <c r="A3743" s="3"/>
      <c r="B3743" s="4"/>
      <c r="C3743" s="4"/>
      <c r="D3743" s="4"/>
      <c r="E3743" s="4"/>
      <c r="F3743" s="4"/>
      <c r="G3743" s="4"/>
      <c r="H3743" s="4"/>
      <c r="I3743" s="4"/>
      <c r="J3743" s="4"/>
      <c r="K3743" s="4"/>
      <c r="L3743" s="4"/>
      <c r="M3743" s="4"/>
      <c r="N3743" s="4"/>
      <c r="O3743" s="4"/>
      <c r="P3743" s="4"/>
      <c r="Q3743" s="4"/>
      <c r="R3743" s="4"/>
      <c r="S3743" s="4"/>
      <c r="T3743" s="4"/>
      <c r="U3743" s="4"/>
      <c r="V3743" s="4"/>
      <c r="W3743" s="4"/>
      <c r="X3743" s="4"/>
      <c r="Y3743" s="4"/>
      <c r="Z3743" s="4"/>
      <c r="AA3743" s="4"/>
      <c r="AB3743" s="5"/>
    </row>
    <row r="3744" spans="1:28" x14ac:dyDescent="0.35">
      <c r="A3744" s="3"/>
      <c r="B3744" s="4"/>
      <c r="C3744" s="4"/>
      <c r="D3744" s="4"/>
      <c r="E3744" s="4"/>
      <c r="F3744" s="4"/>
      <c r="G3744" s="4"/>
      <c r="H3744" s="4"/>
      <c r="I3744" s="4"/>
      <c r="J3744" s="4"/>
      <c r="K3744" s="4"/>
      <c r="L3744" s="4"/>
      <c r="M3744" s="4"/>
      <c r="N3744" s="4"/>
      <c r="O3744" s="4"/>
      <c r="P3744" s="4"/>
      <c r="Q3744" s="4"/>
      <c r="R3744" s="4"/>
      <c r="S3744" s="4"/>
      <c r="T3744" s="4"/>
      <c r="U3744" s="4"/>
      <c r="V3744" s="4"/>
      <c r="W3744" s="4"/>
      <c r="X3744" s="4"/>
      <c r="Y3744" s="4"/>
      <c r="Z3744" s="4"/>
      <c r="AA3744" s="4"/>
      <c r="AB3744" s="5"/>
    </row>
    <row r="3745" spans="1:28" x14ac:dyDescent="0.35">
      <c r="A3745" s="3"/>
      <c r="B3745" s="4"/>
      <c r="C3745" s="4"/>
      <c r="D3745" s="4"/>
      <c r="E3745" s="4"/>
      <c r="F3745" s="4"/>
      <c r="G3745" s="4"/>
      <c r="H3745" s="4"/>
      <c r="I3745" s="4"/>
      <c r="J3745" s="4"/>
      <c r="K3745" s="4"/>
      <c r="L3745" s="4"/>
      <c r="M3745" s="4"/>
      <c r="N3745" s="4"/>
      <c r="O3745" s="4"/>
      <c r="P3745" s="4"/>
      <c r="Q3745" s="4"/>
      <c r="R3745" s="4"/>
      <c r="S3745" s="4"/>
      <c r="T3745" s="4"/>
      <c r="U3745" s="4"/>
      <c r="V3745" s="4"/>
      <c r="W3745" s="4"/>
      <c r="X3745" s="4"/>
      <c r="Y3745" s="4"/>
      <c r="Z3745" s="4"/>
      <c r="AA3745" s="4"/>
      <c r="AB3745" s="5"/>
    </row>
    <row r="3746" spans="1:28" x14ac:dyDescent="0.35">
      <c r="A3746" s="3"/>
      <c r="B3746" s="4"/>
      <c r="C3746" s="4"/>
      <c r="D3746" s="4"/>
      <c r="E3746" s="4"/>
      <c r="F3746" s="4"/>
      <c r="G3746" s="4"/>
      <c r="H3746" s="4"/>
      <c r="I3746" s="4"/>
      <c r="J3746" s="4"/>
      <c r="K3746" s="4"/>
      <c r="L3746" s="4"/>
      <c r="M3746" s="4"/>
      <c r="N3746" s="4"/>
      <c r="O3746" s="4"/>
      <c r="P3746" s="4"/>
      <c r="Q3746" s="4"/>
      <c r="R3746" s="4"/>
      <c r="S3746" s="4"/>
      <c r="T3746" s="4"/>
      <c r="U3746" s="4"/>
      <c r="V3746" s="4"/>
      <c r="W3746" s="4"/>
      <c r="X3746" s="4"/>
      <c r="Y3746" s="4"/>
      <c r="Z3746" s="4"/>
      <c r="AA3746" s="4"/>
      <c r="AB3746" s="5"/>
    </row>
    <row r="3747" spans="1:28" x14ac:dyDescent="0.35">
      <c r="A3747" s="3"/>
      <c r="B3747" s="4"/>
      <c r="C3747" s="4"/>
      <c r="D3747" s="4"/>
      <c r="E3747" s="4"/>
      <c r="F3747" s="4"/>
      <c r="G3747" s="4"/>
      <c r="H3747" s="4"/>
      <c r="I3747" s="4"/>
      <c r="J3747" s="4"/>
      <c r="K3747" s="4"/>
      <c r="L3747" s="4"/>
      <c r="M3747" s="4"/>
      <c r="N3747" s="4"/>
      <c r="O3747" s="4"/>
      <c r="P3747" s="4"/>
      <c r="Q3747" s="4"/>
      <c r="R3747" s="4"/>
      <c r="S3747" s="4"/>
      <c r="T3747" s="4"/>
      <c r="U3747" s="4"/>
      <c r="V3747" s="4"/>
      <c r="W3747" s="4"/>
      <c r="X3747" s="4"/>
      <c r="Y3747" s="4"/>
      <c r="Z3747" s="4"/>
      <c r="AA3747" s="4"/>
      <c r="AB3747" s="5"/>
    </row>
    <row r="3748" spans="1:28" x14ac:dyDescent="0.35">
      <c r="A3748" s="3"/>
      <c r="B3748" s="4"/>
      <c r="C3748" s="4"/>
      <c r="D3748" s="4"/>
      <c r="E3748" s="4"/>
      <c r="F3748" s="4"/>
      <c r="G3748" s="4"/>
      <c r="H3748" s="4"/>
      <c r="I3748" s="4"/>
      <c r="J3748" s="4"/>
      <c r="K3748" s="4"/>
      <c r="L3748" s="4"/>
      <c r="M3748" s="4"/>
      <c r="N3748" s="4"/>
      <c r="O3748" s="4"/>
      <c r="P3748" s="4"/>
      <c r="Q3748" s="4"/>
      <c r="R3748" s="4"/>
      <c r="S3748" s="4"/>
      <c r="T3748" s="4"/>
      <c r="U3748" s="4"/>
      <c r="V3748" s="4"/>
      <c r="W3748" s="4"/>
      <c r="X3748" s="4"/>
      <c r="Y3748" s="4"/>
      <c r="Z3748" s="4"/>
      <c r="AA3748" s="4"/>
      <c r="AB3748" s="5"/>
    </row>
    <row r="3749" spans="1:28" x14ac:dyDescent="0.35">
      <c r="A3749" s="3"/>
      <c r="B3749" s="4"/>
      <c r="C3749" s="4"/>
      <c r="D3749" s="4"/>
      <c r="E3749" s="4"/>
      <c r="F3749" s="4"/>
      <c r="G3749" s="4"/>
      <c r="H3749" s="4"/>
      <c r="I3749" s="4"/>
      <c r="J3749" s="4"/>
      <c r="K3749" s="4"/>
      <c r="L3749" s="4"/>
      <c r="M3749" s="4"/>
      <c r="N3749" s="4"/>
      <c r="O3749" s="4"/>
      <c r="P3749" s="4"/>
      <c r="Q3749" s="4"/>
      <c r="R3749" s="4"/>
      <c r="S3749" s="4"/>
      <c r="T3749" s="4"/>
      <c r="U3749" s="4"/>
      <c r="V3749" s="4"/>
      <c r="W3749" s="4"/>
      <c r="X3749" s="4"/>
      <c r="Y3749" s="4"/>
      <c r="Z3749" s="4"/>
      <c r="AA3749" s="4"/>
      <c r="AB3749" s="5"/>
    </row>
    <row r="3750" spans="1:28" x14ac:dyDescent="0.35">
      <c r="A3750" s="3"/>
      <c r="B3750" s="4"/>
      <c r="C3750" s="4"/>
      <c r="D3750" s="4"/>
      <c r="E3750" s="4"/>
      <c r="F3750" s="4"/>
      <c r="G3750" s="4"/>
      <c r="H3750" s="4"/>
      <c r="I3750" s="4"/>
      <c r="J3750" s="4"/>
      <c r="K3750" s="4"/>
      <c r="L3750" s="4"/>
      <c r="M3750" s="4"/>
      <c r="N3750" s="4"/>
      <c r="O3750" s="4"/>
      <c r="P3750" s="4"/>
      <c r="Q3750" s="4"/>
      <c r="R3750" s="4"/>
      <c r="S3750" s="4"/>
      <c r="T3750" s="4"/>
      <c r="U3750" s="4"/>
      <c r="V3750" s="4"/>
      <c r="W3750" s="4"/>
      <c r="X3750" s="4"/>
      <c r="Y3750" s="4"/>
      <c r="Z3750" s="4"/>
      <c r="AA3750" s="4"/>
      <c r="AB3750" s="5"/>
    </row>
    <row r="3751" spans="1:28" x14ac:dyDescent="0.35">
      <c r="A3751" s="3"/>
      <c r="B3751" s="4"/>
      <c r="C3751" s="4"/>
      <c r="D3751" s="4"/>
      <c r="E3751" s="4"/>
      <c r="F3751" s="4"/>
      <c r="G3751" s="4"/>
      <c r="H3751" s="4"/>
      <c r="I3751" s="4"/>
      <c r="J3751" s="4"/>
      <c r="K3751" s="4"/>
      <c r="L3751" s="4"/>
      <c r="M3751" s="4"/>
      <c r="N3751" s="4"/>
      <c r="O3751" s="4"/>
      <c r="P3751" s="4"/>
      <c r="Q3751" s="4"/>
      <c r="R3751" s="4"/>
      <c r="S3751" s="4"/>
      <c r="T3751" s="4"/>
      <c r="U3751" s="4"/>
      <c r="V3751" s="4"/>
      <c r="W3751" s="4"/>
      <c r="X3751" s="4"/>
      <c r="Y3751" s="4"/>
      <c r="Z3751" s="4"/>
      <c r="AA3751" s="4"/>
      <c r="AB3751" s="5"/>
    </row>
    <row r="3752" spans="1:28" x14ac:dyDescent="0.35">
      <c r="A3752" s="3"/>
      <c r="B3752" s="4"/>
      <c r="C3752" s="4"/>
      <c r="D3752" s="4"/>
      <c r="E3752" s="4"/>
      <c r="F3752" s="4"/>
      <c r="G3752" s="4"/>
      <c r="H3752" s="4"/>
      <c r="I3752" s="4"/>
      <c r="J3752" s="4"/>
      <c r="K3752" s="4"/>
      <c r="L3752" s="4"/>
      <c r="M3752" s="4"/>
      <c r="N3752" s="4"/>
      <c r="O3752" s="4"/>
      <c r="P3752" s="4"/>
      <c r="Q3752" s="4"/>
      <c r="R3752" s="4"/>
      <c r="S3752" s="4"/>
      <c r="T3752" s="4"/>
      <c r="U3752" s="4"/>
      <c r="V3752" s="4"/>
      <c r="W3752" s="4"/>
      <c r="X3752" s="4"/>
      <c r="Y3752" s="4"/>
      <c r="Z3752" s="4"/>
      <c r="AA3752" s="4"/>
      <c r="AB3752" s="5"/>
    </row>
    <row r="3753" spans="1:28" x14ac:dyDescent="0.35">
      <c r="A3753" s="3"/>
      <c r="B3753" s="4"/>
      <c r="C3753" s="4"/>
      <c r="D3753" s="4"/>
      <c r="E3753" s="4"/>
      <c r="F3753" s="4"/>
      <c r="G3753" s="4"/>
      <c r="H3753" s="4"/>
      <c r="I3753" s="4"/>
      <c r="J3753" s="4"/>
      <c r="K3753" s="4"/>
      <c r="L3753" s="4"/>
      <c r="M3753" s="4"/>
      <c r="N3753" s="4"/>
      <c r="O3753" s="4"/>
      <c r="P3753" s="4"/>
      <c r="Q3753" s="4"/>
      <c r="R3753" s="4"/>
      <c r="S3753" s="4"/>
      <c r="T3753" s="4"/>
      <c r="U3753" s="4"/>
      <c r="V3753" s="4"/>
      <c r="W3753" s="4"/>
      <c r="X3753" s="4"/>
      <c r="Y3753" s="4"/>
      <c r="Z3753" s="4"/>
      <c r="AA3753" s="4"/>
      <c r="AB3753" s="5"/>
    </row>
    <row r="3754" spans="1:28" x14ac:dyDescent="0.35">
      <c r="A3754" s="3"/>
      <c r="B3754" s="4"/>
      <c r="C3754" s="4"/>
      <c r="D3754" s="4"/>
      <c r="E3754" s="4"/>
      <c r="F3754" s="4"/>
      <c r="G3754" s="4"/>
      <c r="H3754" s="4"/>
      <c r="I3754" s="4"/>
      <c r="J3754" s="4"/>
      <c r="K3754" s="4"/>
      <c r="L3754" s="4"/>
      <c r="M3754" s="4"/>
      <c r="N3754" s="4"/>
      <c r="O3754" s="4"/>
      <c r="P3754" s="4"/>
      <c r="Q3754" s="4"/>
      <c r="R3754" s="4"/>
      <c r="S3754" s="4"/>
      <c r="T3754" s="4"/>
      <c r="U3754" s="4"/>
      <c r="V3754" s="4"/>
      <c r="W3754" s="4"/>
      <c r="X3754" s="4"/>
      <c r="Y3754" s="4"/>
      <c r="Z3754" s="4"/>
      <c r="AA3754" s="4"/>
      <c r="AB3754" s="5"/>
    </row>
    <row r="3755" spans="1:28" x14ac:dyDescent="0.35">
      <c r="A3755" s="3"/>
      <c r="B3755" s="4"/>
      <c r="C3755" s="4"/>
      <c r="D3755" s="4"/>
      <c r="E3755" s="4"/>
      <c r="F3755" s="4"/>
      <c r="G3755" s="4"/>
      <c r="H3755" s="4"/>
      <c r="I3755" s="4"/>
      <c r="J3755" s="4"/>
      <c r="K3755" s="4"/>
      <c r="L3755" s="4"/>
      <c r="M3755" s="4"/>
      <c r="N3755" s="4"/>
      <c r="O3755" s="4"/>
      <c r="P3755" s="4"/>
      <c r="Q3755" s="4"/>
      <c r="R3755" s="4"/>
      <c r="S3755" s="4"/>
      <c r="T3755" s="4"/>
      <c r="U3755" s="4"/>
      <c r="V3755" s="4"/>
      <c r="W3755" s="4"/>
      <c r="X3755" s="4"/>
      <c r="Y3755" s="4"/>
      <c r="Z3755" s="4"/>
      <c r="AA3755" s="4"/>
      <c r="AB3755" s="5"/>
    </row>
    <row r="3756" spans="1:28" x14ac:dyDescent="0.35">
      <c r="A3756" s="3"/>
      <c r="B3756" s="4"/>
      <c r="C3756" s="4"/>
      <c r="D3756" s="4"/>
      <c r="E3756" s="4"/>
      <c r="F3756" s="4"/>
      <c r="G3756" s="4"/>
      <c r="H3756" s="4"/>
      <c r="I3756" s="4"/>
      <c r="J3756" s="4"/>
      <c r="K3756" s="4"/>
      <c r="L3756" s="4"/>
      <c r="M3756" s="4"/>
      <c r="N3756" s="4"/>
      <c r="O3756" s="4"/>
      <c r="P3756" s="4"/>
      <c r="Q3756" s="4"/>
      <c r="R3756" s="4"/>
      <c r="S3756" s="4"/>
      <c r="T3756" s="4"/>
      <c r="U3756" s="4"/>
      <c r="V3756" s="4"/>
      <c r="W3756" s="4"/>
      <c r="X3756" s="4"/>
      <c r="Y3756" s="4"/>
      <c r="Z3756" s="4"/>
      <c r="AA3756" s="4"/>
      <c r="AB3756" s="5"/>
    </row>
    <row r="3757" spans="1:28" x14ac:dyDescent="0.35">
      <c r="A3757" s="3"/>
      <c r="B3757" s="4"/>
      <c r="C3757" s="4"/>
      <c r="D3757" s="4"/>
      <c r="E3757" s="4"/>
      <c r="F3757" s="4"/>
      <c r="G3757" s="4"/>
      <c r="H3757" s="4"/>
      <c r="I3757" s="4"/>
      <c r="J3757" s="4"/>
      <c r="K3757" s="4"/>
      <c r="L3757" s="4"/>
      <c r="M3757" s="4"/>
      <c r="N3757" s="4"/>
      <c r="O3757" s="4"/>
      <c r="P3757" s="4"/>
      <c r="Q3757" s="4"/>
      <c r="R3757" s="4"/>
      <c r="S3757" s="4"/>
      <c r="T3757" s="4"/>
      <c r="U3757" s="4"/>
      <c r="V3757" s="4"/>
      <c r="W3757" s="4"/>
      <c r="X3757" s="4"/>
      <c r="Y3757" s="4"/>
      <c r="Z3757" s="4"/>
      <c r="AA3757" s="4"/>
      <c r="AB3757" s="5"/>
    </row>
    <row r="3758" spans="1:28" x14ac:dyDescent="0.35">
      <c r="A3758" s="3"/>
      <c r="B3758" s="4"/>
      <c r="C3758" s="4"/>
      <c r="D3758" s="4"/>
      <c r="E3758" s="4"/>
      <c r="F3758" s="4"/>
      <c r="G3758" s="4"/>
      <c r="H3758" s="4"/>
      <c r="I3758" s="4"/>
      <c r="J3758" s="4"/>
      <c r="K3758" s="4"/>
      <c r="L3758" s="4"/>
      <c r="M3758" s="4"/>
      <c r="N3758" s="4"/>
      <c r="O3758" s="4"/>
      <c r="P3758" s="4"/>
      <c r="Q3758" s="4"/>
      <c r="R3758" s="4"/>
      <c r="S3758" s="4"/>
      <c r="T3758" s="4"/>
      <c r="U3758" s="4"/>
      <c r="V3758" s="4"/>
      <c r="W3758" s="4"/>
      <c r="X3758" s="4"/>
      <c r="Y3758" s="4"/>
      <c r="Z3758" s="4"/>
      <c r="AA3758" s="4"/>
      <c r="AB3758" s="5"/>
    </row>
    <row r="3759" spans="1:28" x14ac:dyDescent="0.35">
      <c r="A3759" s="3"/>
      <c r="B3759" s="4"/>
      <c r="C3759" s="4"/>
      <c r="D3759" s="4"/>
      <c r="E3759" s="4"/>
      <c r="F3759" s="4"/>
      <c r="G3759" s="4"/>
      <c r="H3759" s="4"/>
      <c r="I3759" s="4"/>
      <c r="J3759" s="4"/>
      <c r="K3759" s="4"/>
      <c r="L3759" s="4"/>
      <c r="M3759" s="4"/>
      <c r="N3759" s="4"/>
      <c r="O3759" s="4"/>
      <c r="P3759" s="4"/>
      <c r="Q3759" s="4"/>
      <c r="R3759" s="4"/>
      <c r="S3759" s="4"/>
      <c r="T3759" s="4"/>
      <c r="U3759" s="4"/>
      <c r="V3759" s="4"/>
      <c r="W3759" s="4"/>
      <c r="X3759" s="4"/>
      <c r="Y3759" s="4"/>
      <c r="Z3759" s="4"/>
      <c r="AA3759" s="4"/>
      <c r="AB3759" s="5"/>
    </row>
    <row r="3760" spans="1:28" x14ac:dyDescent="0.35">
      <c r="A3760" s="3"/>
      <c r="B3760" s="4"/>
      <c r="C3760" s="4"/>
      <c r="D3760" s="4"/>
      <c r="E3760" s="4"/>
      <c r="F3760" s="4"/>
      <c r="G3760" s="4"/>
      <c r="H3760" s="4"/>
      <c r="I3760" s="4"/>
      <c r="J3760" s="4"/>
      <c r="K3760" s="4"/>
      <c r="L3760" s="4"/>
      <c r="M3760" s="4"/>
      <c r="N3760" s="4"/>
      <c r="O3760" s="4"/>
      <c r="P3760" s="4"/>
      <c r="Q3760" s="4"/>
      <c r="R3760" s="4"/>
      <c r="S3760" s="4"/>
      <c r="T3760" s="4"/>
      <c r="U3760" s="4"/>
      <c r="V3760" s="4"/>
      <c r="W3760" s="4"/>
      <c r="X3760" s="4"/>
      <c r="Y3760" s="4"/>
      <c r="Z3760" s="4"/>
      <c r="AA3760" s="4"/>
      <c r="AB3760" s="5"/>
    </row>
    <row r="3761" spans="1:28" x14ac:dyDescent="0.35">
      <c r="A3761" s="3"/>
      <c r="B3761" s="4"/>
      <c r="C3761" s="4"/>
      <c r="D3761" s="4"/>
      <c r="E3761" s="4"/>
      <c r="F3761" s="4"/>
      <c r="G3761" s="4"/>
      <c r="H3761" s="4"/>
      <c r="I3761" s="4"/>
      <c r="J3761" s="4"/>
      <c r="K3761" s="4"/>
      <c r="L3761" s="4"/>
      <c r="M3761" s="4"/>
      <c r="N3761" s="4"/>
      <c r="O3761" s="4"/>
      <c r="P3761" s="4"/>
      <c r="Q3761" s="4"/>
      <c r="R3761" s="4"/>
      <c r="S3761" s="4"/>
      <c r="T3761" s="4"/>
      <c r="U3761" s="4"/>
      <c r="V3761" s="4"/>
      <c r="W3761" s="4"/>
      <c r="X3761" s="4"/>
      <c r="Y3761" s="4"/>
      <c r="Z3761" s="4"/>
      <c r="AA3761" s="4"/>
      <c r="AB3761" s="5"/>
    </row>
    <row r="3762" spans="1:28" x14ac:dyDescent="0.35">
      <c r="A3762" s="3"/>
      <c r="B3762" s="4"/>
      <c r="C3762" s="4"/>
      <c r="D3762" s="4"/>
      <c r="E3762" s="4"/>
      <c r="F3762" s="4"/>
      <c r="G3762" s="4"/>
      <c r="H3762" s="4"/>
      <c r="I3762" s="4"/>
      <c r="J3762" s="4"/>
      <c r="K3762" s="4"/>
      <c r="L3762" s="4"/>
      <c r="M3762" s="4"/>
      <c r="N3762" s="4"/>
      <c r="O3762" s="4"/>
      <c r="P3762" s="4"/>
      <c r="Q3762" s="4"/>
      <c r="R3762" s="4"/>
      <c r="S3762" s="4"/>
      <c r="T3762" s="4"/>
      <c r="U3762" s="4"/>
      <c r="V3762" s="4"/>
      <c r="W3762" s="4"/>
      <c r="X3762" s="4"/>
      <c r="Y3762" s="4"/>
      <c r="Z3762" s="4"/>
      <c r="AA3762" s="4"/>
      <c r="AB3762" s="5"/>
    </row>
    <row r="3763" spans="1:28" x14ac:dyDescent="0.35">
      <c r="A3763" s="3"/>
      <c r="B3763" s="4"/>
      <c r="C3763" s="4"/>
      <c r="D3763" s="4"/>
      <c r="E3763" s="4"/>
      <c r="F3763" s="4"/>
      <c r="G3763" s="4"/>
      <c r="H3763" s="4"/>
      <c r="I3763" s="4"/>
      <c r="J3763" s="4"/>
      <c r="K3763" s="4"/>
      <c r="L3763" s="4"/>
      <c r="M3763" s="4"/>
      <c r="N3763" s="4"/>
      <c r="O3763" s="4"/>
      <c r="P3763" s="4"/>
      <c r="Q3763" s="4"/>
      <c r="R3763" s="4"/>
      <c r="S3763" s="4"/>
      <c r="T3763" s="4"/>
      <c r="U3763" s="4"/>
      <c r="V3763" s="4"/>
      <c r="W3763" s="4"/>
      <c r="X3763" s="4"/>
      <c r="Y3763" s="4"/>
      <c r="Z3763" s="4"/>
      <c r="AA3763" s="4"/>
      <c r="AB3763" s="5"/>
    </row>
    <row r="3764" spans="1:28" x14ac:dyDescent="0.35">
      <c r="A3764" s="3"/>
      <c r="B3764" s="4"/>
      <c r="C3764" s="4"/>
      <c r="D3764" s="4"/>
      <c r="E3764" s="4"/>
      <c r="F3764" s="4"/>
      <c r="G3764" s="4"/>
      <c r="H3764" s="4"/>
      <c r="I3764" s="4"/>
      <c r="J3764" s="4"/>
      <c r="K3764" s="4"/>
      <c r="L3764" s="4"/>
      <c r="M3764" s="4"/>
      <c r="N3764" s="4"/>
      <c r="O3764" s="4"/>
      <c r="P3764" s="4"/>
      <c r="Q3764" s="4"/>
      <c r="R3764" s="4"/>
      <c r="S3764" s="4"/>
      <c r="T3764" s="4"/>
      <c r="U3764" s="4"/>
      <c r="V3764" s="4"/>
      <c r="W3764" s="4"/>
      <c r="X3764" s="4"/>
      <c r="Y3764" s="4"/>
      <c r="Z3764" s="4"/>
      <c r="AA3764" s="4"/>
      <c r="AB3764" s="5"/>
    </row>
    <row r="3765" spans="1:28" x14ac:dyDescent="0.35">
      <c r="A3765" s="3"/>
      <c r="B3765" s="4"/>
      <c r="C3765" s="4"/>
      <c r="D3765" s="4"/>
      <c r="E3765" s="4"/>
      <c r="F3765" s="4"/>
      <c r="G3765" s="4"/>
      <c r="H3765" s="4"/>
      <c r="I3765" s="4"/>
      <c r="J3765" s="4"/>
      <c r="K3765" s="4"/>
      <c r="L3765" s="4"/>
      <c r="M3765" s="4"/>
      <c r="N3765" s="4"/>
      <c r="O3765" s="4"/>
      <c r="P3765" s="4"/>
      <c r="Q3765" s="4"/>
      <c r="R3765" s="4"/>
      <c r="S3765" s="4"/>
      <c r="T3765" s="4"/>
      <c r="U3765" s="4"/>
      <c r="V3765" s="4"/>
      <c r="W3765" s="4"/>
      <c r="X3765" s="4"/>
      <c r="Y3765" s="4"/>
      <c r="Z3765" s="4"/>
      <c r="AA3765" s="4"/>
      <c r="AB3765" s="5"/>
    </row>
    <row r="3766" spans="1:28" x14ac:dyDescent="0.35">
      <c r="A3766" s="3"/>
      <c r="B3766" s="4"/>
      <c r="C3766" s="4"/>
      <c r="D3766" s="4"/>
      <c r="E3766" s="4"/>
      <c r="F3766" s="4"/>
      <c r="G3766" s="4"/>
      <c r="H3766" s="4"/>
      <c r="I3766" s="4"/>
      <c r="J3766" s="4"/>
      <c r="K3766" s="4"/>
      <c r="L3766" s="4"/>
      <c r="M3766" s="4"/>
      <c r="N3766" s="4"/>
      <c r="O3766" s="4"/>
      <c r="P3766" s="4"/>
      <c r="Q3766" s="4"/>
      <c r="R3766" s="4"/>
      <c r="S3766" s="4"/>
      <c r="T3766" s="4"/>
      <c r="U3766" s="4"/>
      <c r="V3766" s="4"/>
      <c r="W3766" s="4"/>
      <c r="X3766" s="4"/>
      <c r="Y3766" s="4"/>
      <c r="Z3766" s="4"/>
      <c r="AA3766" s="4"/>
      <c r="AB3766" s="5"/>
    </row>
    <row r="3767" spans="1:28" x14ac:dyDescent="0.35">
      <c r="A3767" s="3"/>
      <c r="B3767" s="4"/>
      <c r="C3767" s="4"/>
      <c r="D3767" s="4"/>
      <c r="E3767" s="4"/>
      <c r="F3767" s="4"/>
      <c r="G3767" s="4"/>
      <c r="H3767" s="4"/>
      <c r="I3767" s="4"/>
      <c r="J3767" s="4"/>
      <c r="K3767" s="4"/>
      <c r="L3767" s="4"/>
      <c r="M3767" s="4"/>
      <c r="N3767" s="4"/>
      <c r="O3767" s="4"/>
      <c r="P3767" s="4"/>
      <c r="Q3767" s="4"/>
      <c r="R3767" s="4"/>
      <c r="S3767" s="4"/>
      <c r="T3767" s="4"/>
      <c r="U3767" s="4"/>
      <c r="V3767" s="4"/>
      <c r="W3767" s="4"/>
      <c r="X3767" s="4"/>
      <c r="Y3767" s="4"/>
      <c r="Z3767" s="4"/>
      <c r="AA3767" s="4"/>
      <c r="AB3767" s="5"/>
    </row>
    <row r="3768" spans="1:28" x14ac:dyDescent="0.35">
      <c r="A3768" s="3"/>
      <c r="B3768" s="4"/>
      <c r="C3768" s="4"/>
      <c r="D3768" s="4"/>
      <c r="E3768" s="4"/>
      <c r="F3768" s="4"/>
      <c r="G3768" s="4"/>
      <c r="H3768" s="4"/>
      <c r="I3768" s="4"/>
      <c r="J3768" s="4"/>
      <c r="K3768" s="4"/>
      <c r="L3768" s="4"/>
      <c r="M3768" s="4"/>
      <c r="N3768" s="4"/>
      <c r="O3768" s="4"/>
      <c r="P3768" s="4"/>
      <c r="Q3768" s="4"/>
      <c r="R3768" s="4"/>
      <c r="S3768" s="4"/>
      <c r="T3768" s="4"/>
      <c r="U3768" s="4"/>
      <c r="V3768" s="4"/>
      <c r="W3768" s="4"/>
      <c r="X3768" s="4"/>
      <c r="Y3768" s="4"/>
      <c r="Z3768" s="4"/>
      <c r="AA3768" s="4"/>
      <c r="AB3768" s="5"/>
    </row>
    <row r="3769" spans="1:28" x14ac:dyDescent="0.35">
      <c r="A3769" s="3"/>
      <c r="B3769" s="4"/>
      <c r="C3769" s="4"/>
      <c r="D3769" s="4"/>
      <c r="E3769" s="4"/>
      <c r="F3769" s="4"/>
      <c r="G3769" s="4"/>
      <c r="H3769" s="4"/>
      <c r="I3769" s="4"/>
      <c r="J3769" s="4"/>
      <c r="K3769" s="4"/>
      <c r="L3769" s="4"/>
      <c r="M3769" s="4"/>
      <c r="N3769" s="4"/>
      <c r="O3769" s="4"/>
      <c r="P3769" s="4"/>
      <c r="Q3769" s="4"/>
      <c r="R3769" s="4"/>
      <c r="S3769" s="4"/>
      <c r="T3769" s="4"/>
      <c r="U3769" s="4"/>
      <c r="V3769" s="4"/>
      <c r="W3769" s="4"/>
      <c r="X3769" s="4"/>
      <c r="Y3769" s="4"/>
      <c r="Z3769" s="4"/>
      <c r="AA3769" s="4"/>
      <c r="AB3769" s="5"/>
    </row>
    <row r="3770" spans="1:28" x14ac:dyDescent="0.35">
      <c r="A3770" s="3"/>
      <c r="B3770" s="4"/>
      <c r="C3770" s="4"/>
      <c r="D3770" s="4"/>
      <c r="E3770" s="4"/>
      <c r="F3770" s="4"/>
      <c r="G3770" s="4"/>
      <c r="H3770" s="4"/>
      <c r="I3770" s="4"/>
      <c r="J3770" s="4"/>
      <c r="K3770" s="4"/>
      <c r="L3770" s="4"/>
      <c r="M3770" s="4"/>
      <c r="N3770" s="4"/>
      <c r="O3770" s="4"/>
      <c r="P3770" s="4"/>
      <c r="Q3770" s="4"/>
      <c r="R3770" s="4"/>
      <c r="S3770" s="4"/>
      <c r="T3770" s="4"/>
      <c r="U3770" s="4"/>
      <c r="V3770" s="4"/>
      <c r="W3770" s="4"/>
      <c r="X3770" s="4"/>
      <c r="Y3770" s="4"/>
      <c r="Z3770" s="4"/>
      <c r="AA3770" s="4"/>
      <c r="AB3770" s="5"/>
    </row>
    <row r="3771" spans="1:28" x14ac:dyDescent="0.35">
      <c r="A3771" s="3"/>
      <c r="B3771" s="4"/>
      <c r="C3771" s="4"/>
      <c r="D3771" s="4"/>
      <c r="E3771" s="4"/>
      <c r="F3771" s="4"/>
      <c r="G3771" s="4"/>
      <c r="H3771" s="4"/>
      <c r="I3771" s="4"/>
      <c r="J3771" s="4"/>
      <c r="K3771" s="4"/>
      <c r="L3771" s="4"/>
      <c r="M3771" s="4"/>
      <c r="N3771" s="4"/>
      <c r="O3771" s="4"/>
      <c r="P3771" s="4"/>
      <c r="Q3771" s="4"/>
      <c r="R3771" s="4"/>
      <c r="S3771" s="4"/>
      <c r="T3771" s="4"/>
      <c r="U3771" s="4"/>
      <c r="V3771" s="4"/>
      <c r="W3771" s="4"/>
      <c r="X3771" s="4"/>
      <c r="Y3771" s="4"/>
      <c r="Z3771" s="4"/>
      <c r="AA3771" s="4"/>
      <c r="AB3771" s="5"/>
    </row>
    <row r="3772" spans="1:28" x14ac:dyDescent="0.35">
      <c r="A3772" s="3"/>
      <c r="B3772" s="4"/>
      <c r="C3772" s="4"/>
      <c r="D3772" s="4"/>
      <c r="E3772" s="4"/>
      <c r="F3772" s="4"/>
      <c r="G3772" s="4"/>
      <c r="H3772" s="4"/>
      <c r="I3772" s="4"/>
      <c r="J3772" s="4"/>
      <c r="K3772" s="4"/>
      <c r="L3772" s="4"/>
      <c r="M3772" s="4"/>
      <c r="N3772" s="4"/>
      <c r="O3772" s="4"/>
      <c r="P3772" s="4"/>
      <c r="Q3772" s="4"/>
      <c r="R3772" s="4"/>
      <c r="S3772" s="4"/>
      <c r="T3772" s="4"/>
      <c r="U3772" s="4"/>
      <c r="V3772" s="4"/>
      <c r="W3772" s="4"/>
      <c r="X3772" s="4"/>
      <c r="Y3772" s="4"/>
      <c r="Z3772" s="4"/>
      <c r="AA3772" s="4"/>
      <c r="AB3772" s="5"/>
    </row>
    <row r="3773" spans="1:28" x14ac:dyDescent="0.35">
      <c r="A3773" s="3"/>
      <c r="B3773" s="4"/>
      <c r="C3773" s="4"/>
      <c r="D3773" s="4"/>
      <c r="E3773" s="4"/>
      <c r="F3773" s="4"/>
      <c r="G3773" s="4"/>
      <c r="H3773" s="4"/>
      <c r="I3773" s="4"/>
      <c r="J3773" s="4"/>
      <c r="K3773" s="4"/>
      <c r="L3773" s="4"/>
      <c r="M3773" s="4"/>
      <c r="N3773" s="4"/>
      <c r="O3773" s="4"/>
      <c r="P3773" s="4"/>
      <c r="Q3773" s="4"/>
      <c r="R3773" s="4"/>
      <c r="S3773" s="4"/>
      <c r="T3773" s="4"/>
      <c r="U3773" s="4"/>
      <c r="V3773" s="4"/>
      <c r="W3773" s="4"/>
      <c r="X3773" s="4"/>
      <c r="Y3773" s="4"/>
      <c r="Z3773" s="4"/>
      <c r="AA3773" s="4"/>
      <c r="AB3773" s="5"/>
    </row>
    <row r="3774" spans="1:28" x14ac:dyDescent="0.35">
      <c r="A3774" s="3"/>
      <c r="B3774" s="4"/>
      <c r="C3774" s="4"/>
      <c r="D3774" s="4"/>
      <c r="E3774" s="4"/>
      <c r="F3774" s="4"/>
      <c r="G3774" s="4"/>
      <c r="H3774" s="4"/>
      <c r="I3774" s="4"/>
      <c r="J3774" s="4"/>
      <c r="K3774" s="4"/>
      <c r="L3774" s="4"/>
      <c r="M3774" s="4"/>
      <c r="N3774" s="4"/>
      <c r="O3774" s="4"/>
      <c r="P3774" s="4"/>
      <c r="Q3774" s="4"/>
      <c r="R3774" s="4"/>
      <c r="S3774" s="4"/>
      <c r="T3774" s="4"/>
      <c r="U3774" s="4"/>
      <c r="V3774" s="4"/>
      <c r="W3774" s="4"/>
      <c r="X3774" s="4"/>
      <c r="Y3774" s="4"/>
      <c r="Z3774" s="4"/>
      <c r="AA3774" s="4"/>
      <c r="AB3774" s="5"/>
    </row>
    <row r="3775" spans="1:28" x14ac:dyDescent="0.35">
      <c r="A3775" s="3"/>
      <c r="B3775" s="4"/>
      <c r="C3775" s="4"/>
      <c r="D3775" s="4"/>
      <c r="E3775" s="4"/>
      <c r="F3775" s="4"/>
      <c r="G3775" s="4"/>
      <c r="H3775" s="4"/>
      <c r="I3775" s="4"/>
      <c r="J3775" s="4"/>
      <c r="K3775" s="4"/>
      <c r="L3775" s="4"/>
      <c r="M3775" s="4"/>
      <c r="N3775" s="4"/>
      <c r="O3775" s="4"/>
      <c r="P3775" s="4"/>
      <c r="Q3775" s="4"/>
      <c r="R3775" s="4"/>
      <c r="S3775" s="4"/>
      <c r="T3775" s="4"/>
      <c r="U3775" s="4"/>
      <c r="V3775" s="4"/>
      <c r="W3775" s="4"/>
      <c r="X3775" s="4"/>
      <c r="Y3775" s="4"/>
      <c r="Z3775" s="4"/>
      <c r="AA3775" s="4"/>
      <c r="AB3775" s="5"/>
    </row>
    <row r="3776" spans="1:28" x14ac:dyDescent="0.35">
      <c r="A3776" s="3"/>
      <c r="B3776" s="4"/>
      <c r="C3776" s="4"/>
      <c r="D3776" s="4"/>
      <c r="E3776" s="4"/>
      <c r="F3776" s="4"/>
      <c r="G3776" s="4"/>
      <c r="H3776" s="4"/>
      <c r="I3776" s="4"/>
      <c r="J3776" s="4"/>
      <c r="K3776" s="4"/>
      <c r="L3776" s="4"/>
      <c r="M3776" s="4"/>
      <c r="N3776" s="4"/>
      <c r="O3776" s="4"/>
      <c r="P3776" s="4"/>
      <c r="Q3776" s="4"/>
      <c r="R3776" s="4"/>
      <c r="S3776" s="4"/>
      <c r="T3776" s="4"/>
      <c r="U3776" s="4"/>
      <c r="V3776" s="4"/>
      <c r="W3776" s="4"/>
      <c r="X3776" s="4"/>
      <c r="Y3776" s="4"/>
      <c r="Z3776" s="4"/>
      <c r="AA3776" s="4"/>
      <c r="AB3776" s="5"/>
    </row>
    <row r="3777" spans="1:28" x14ac:dyDescent="0.35">
      <c r="A3777" s="3"/>
      <c r="B3777" s="4"/>
      <c r="C3777" s="4"/>
      <c r="D3777" s="4"/>
      <c r="E3777" s="4"/>
      <c r="F3777" s="4"/>
      <c r="G3777" s="4"/>
      <c r="H3777" s="4"/>
      <c r="I3777" s="4"/>
      <c r="J3777" s="4"/>
      <c r="K3777" s="4"/>
      <c r="L3777" s="4"/>
      <c r="M3777" s="4"/>
      <c r="N3777" s="4"/>
      <c r="O3777" s="4"/>
      <c r="P3777" s="4"/>
      <c r="Q3777" s="4"/>
      <c r="R3777" s="4"/>
      <c r="S3777" s="4"/>
      <c r="T3777" s="4"/>
      <c r="U3777" s="4"/>
      <c r="V3777" s="4"/>
      <c r="W3777" s="4"/>
      <c r="X3777" s="4"/>
      <c r="Y3777" s="4"/>
      <c r="Z3777" s="4"/>
      <c r="AA3777" s="4"/>
      <c r="AB3777" s="5"/>
    </row>
    <row r="3778" spans="1:28" x14ac:dyDescent="0.35">
      <c r="A3778" s="3"/>
      <c r="B3778" s="4"/>
      <c r="C3778" s="4"/>
      <c r="D3778" s="4"/>
      <c r="E3778" s="4"/>
      <c r="F3778" s="4"/>
      <c r="G3778" s="4"/>
      <c r="H3778" s="4"/>
      <c r="I3778" s="4"/>
      <c r="J3778" s="4"/>
      <c r="K3778" s="4"/>
      <c r="L3778" s="4"/>
      <c r="M3778" s="4"/>
      <c r="N3778" s="4"/>
      <c r="O3778" s="4"/>
      <c r="P3778" s="4"/>
      <c r="Q3778" s="4"/>
      <c r="R3778" s="4"/>
      <c r="S3778" s="4"/>
      <c r="T3778" s="4"/>
      <c r="U3778" s="4"/>
      <c r="V3778" s="4"/>
      <c r="W3778" s="4"/>
      <c r="X3778" s="4"/>
      <c r="Y3778" s="4"/>
      <c r="Z3778" s="4"/>
      <c r="AA3778" s="4"/>
      <c r="AB3778" s="5"/>
    </row>
    <row r="3779" spans="1:28" x14ac:dyDescent="0.35">
      <c r="A3779" s="3"/>
      <c r="B3779" s="4"/>
      <c r="C3779" s="4"/>
      <c r="D3779" s="4"/>
      <c r="E3779" s="4"/>
      <c r="F3779" s="4"/>
      <c r="G3779" s="4"/>
      <c r="H3779" s="4"/>
      <c r="I3779" s="4"/>
      <c r="J3779" s="4"/>
      <c r="K3779" s="4"/>
      <c r="L3779" s="4"/>
      <c r="M3779" s="4"/>
      <c r="N3779" s="4"/>
      <c r="O3779" s="4"/>
      <c r="P3779" s="4"/>
      <c r="Q3779" s="4"/>
      <c r="R3779" s="4"/>
      <c r="S3779" s="4"/>
      <c r="T3779" s="4"/>
      <c r="U3779" s="4"/>
      <c r="V3779" s="4"/>
      <c r="W3779" s="4"/>
      <c r="X3779" s="4"/>
      <c r="Y3779" s="4"/>
      <c r="Z3779" s="4"/>
      <c r="AA3779" s="4"/>
      <c r="AB3779" s="5"/>
    </row>
    <row r="3780" spans="1:28" x14ac:dyDescent="0.35">
      <c r="A3780" s="3"/>
      <c r="B3780" s="4"/>
      <c r="C3780" s="4"/>
      <c r="D3780" s="4"/>
      <c r="E3780" s="4"/>
      <c r="F3780" s="4"/>
      <c r="G3780" s="4"/>
      <c r="H3780" s="4"/>
      <c r="I3780" s="4"/>
      <c r="J3780" s="4"/>
      <c r="K3780" s="4"/>
      <c r="L3780" s="4"/>
      <c r="M3780" s="4"/>
      <c r="N3780" s="4"/>
      <c r="O3780" s="4"/>
      <c r="P3780" s="4"/>
      <c r="Q3780" s="4"/>
      <c r="R3780" s="4"/>
      <c r="S3780" s="4"/>
      <c r="T3780" s="4"/>
      <c r="U3780" s="4"/>
      <c r="V3780" s="4"/>
      <c r="W3780" s="4"/>
      <c r="X3780" s="4"/>
      <c r="Y3780" s="4"/>
      <c r="Z3780" s="4"/>
      <c r="AA3780" s="4"/>
      <c r="AB3780" s="5"/>
    </row>
    <row r="3781" spans="1:28" x14ac:dyDescent="0.35">
      <c r="A3781" s="3"/>
      <c r="B3781" s="4"/>
      <c r="C3781" s="4"/>
      <c r="D3781" s="4"/>
      <c r="E3781" s="4"/>
      <c r="F3781" s="4"/>
      <c r="G3781" s="4"/>
      <c r="H3781" s="4"/>
      <c r="I3781" s="4"/>
      <c r="J3781" s="4"/>
      <c r="K3781" s="4"/>
      <c r="L3781" s="4"/>
      <c r="M3781" s="4"/>
      <c r="N3781" s="4"/>
      <c r="O3781" s="4"/>
      <c r="P3781" s="4"/>
      <c r="Q3781" s="4"/>
      <c r="R3781" s="4"/>
      <c r="S3781" s="4"/>
      <c r="T3781" s="4"/>
      <c r="U3781" s="4"/>
      <c r="V3781" s="4"/>
      <c r="W3781" s="4"/>
      <c r="X3781" s="4"/>
      <c r="Y3781" s="4"/>
      <c r="Z3781" s="4"/>
      <c r="AA3781" s="4"/>
      <c r="AB3781" s="5"/>
    </row>
    <row r="3782" spans="1:28" x14ac:dyDescent="0.35">
      <c r="A3782" s="3"/>
      <c r="B3782" s="4"/>
      <c r="C3782" s="4"/>
      <c r="D3782" s="4"/>
      <c r="E3782" s="4"/>
      <c r="F3782" s="4"/>
      <c r="G3782" s="4"/>
      <c r="H3782" s="4"/>
      <c r="I3782" s="4"/>
      <c r="J3782" s="4"/>
      <c r="K3782" s="4"/>
      <c r="L3782" s="4"/>
      <c r="M3782" s="4"/>
      <c r="N3782" s="4"/>
      <c r="O3782" s="4"/>
      <c r="P3782" s="4"/>
      <c r="Q3782" s="4"/>
      <c r="R3782" s="4"/>
      <c r="S3782" s="4"/>
      <c r="T3782" s="4"/>
      <c r="U3782" s="4"/>
      <c r="V3782" s="4"/>
      <c r="W3782" s="4"/>
      <c r="X3782" s="4"/>
      <c r="Y3782" s="4"/>
      <c r="Z3782" s="4"/>
      <c r="AA3782" s="4"/>
      <c r="AB3782" s="5"/>
    </row>
    <row r="3783" spans="1:28" x14ac:dyDescent="0.35">
      <c r="A3783" s="3"/>
      <c r="B3783" s="4"/>
      <c r="C3783" s="4"/>
      <c r="D3783" s="4"/>
      <c r="E3783" s="4"/>
      <c r="F3783" s="4"/>
      <c r="G3783" s="4"/>
      <c r="H3783" s="4"/>
      <c r="I3783" s="4"/>
      <c r="J3783" s="4"/>
      <c r="K3783" s="4"/>
      <c r="L3783" s="4"/>
      <c r="M3783" s="4"/>
      <c r="N3783" s="4"/>
      <c r="O3783" s="4"/>
      <c r="P3783" s="4"/>
      <c r="Q3783" s="4"/>
      <c r="R3783" s="4"/>
      <c r="S3783" s="4"/>
      <c r="T3783" s="4"/>
      <c r="U3783" s="4"/>
      <c r="V3783" s="4"/>
      <c r="W3783" s="4"/>
      <c r="X3783" s="4"/>
      <c r="Y3783" s="4"/>
      <c r="Z3783" s="4"/>
      <c r="AA3783" s="4"/>
      <c r="AB3783" s="5"/>
    </row>
    <row r="3784" spans="1:28" x14ac:dyDescent="0.35">
      <c r="A3784" s="3"/>
      <c r="B3784" s="4"/>
      <c r="C3784" s="4"/>
      <c r="D3784" s="4"/>
      <c r="E3784" s="4"/>
      <c r="F3784" s="4"/>
      <c r="G3784" s="4"/>
      <c r="H3784" s="4"/>
      <c r="I3784" s="4"/>
      <c r="J3784" s="4"/>
      <c r="K3784" s="4"/>
      <c r="L3784" s="4"/>
      <c r="M3784" s="4"/>
      <c r="N3784" s="4"/>
      <c r="O3784" s="4"/>
      <c r="P3784" s="4"/>
      <c r="Q3784" s="4"/>
      <c r="R3784" s="4"/>
      <c r="S3784" s="4"/>
      <c r="T3784" s="4"/>
      <c r="U3784" s="4"/>
      <c r="V3784" s="4"/>
      <c r="W3784" s="4"/>
      <c r="X3784" s="4"/>
      <c r="Y3784" s="4"/>
      <c r="Z3784" s="4"/>
      <c r="AA3784" s="4"/>
      <c r="AB3784" s="5"/>
    </row>
    <row r="3785" spans="1:28" x14ac:dyDescent="0.35">
      <c r="A3785" s="3"/>
      <c r="B3785" s="4"/>
      <c r="C3785" s="4"/>
      <c r="D3785" s="4"/>
      <c r="E3785" s="4"/>
      <c r="F3785" s="4"/>
      <c r="G3785" s="4"/>
      <c r="H3785" s="4"/>
      <c r="I3785" s="4"/>
      <c r="J3785" s="4"/>
      <c r="K3785" s="4"/>
      <c r="L3785" s="4"/>
      <c r="M3785" s="4"/>
      <c r="N3785" s="4"/>
      <c r="O3785" s="4"/>
      <c r="P3785" s="4"/>
      <c r="Q3785" s="4"/>
      <c r="R3785" s="4"/>
      <c r="S3785" s="4"/>
      <c r="T3785" s="4"/>
      <c r="U3785" s="4"/>
      <c r="V3785" s="4"/>
      <c r="W3785" s="4"/>
      <c r="X3785" s="4"/>
      <c r="Y3785" s="4"/>
      <c r="Z3785" s="4"/>
      <c r="AA3785" s="4"/>
      <c r="AB3785" s="5"/>
    </row>
    <row r="3786" spans="1:28" x14ac:dyDescent="0.35">
      <c r="A3786" s="3"/>
      <c r="B3786" s="4"/>
      <c r="C3786" s="4"/>
      <c r="D3786" s="4"/>
      <c r="E3786" s="4"/>
      <c r="F3786" s="4"/>
      <c r="G3786" s="4"/>
      <c r="H3786" s="4"/>
      <c r="I3786" s="4"/>
      <c r="J3786" s="4"/>
      <c r="K3786" s="4"/>
      <c r="L3786" s="4"/>
      <c r="M3786" s="4"/>
      <c r="N3786" s="4"/>
      <c r="O3786" s="4"/>
      <c r="P3786" s="4"/>
      <c r="Q3786" s="4"/>
      <c r="R3786" s="4"/>
      <c r="S3786" s="4"/>
      <c r="T3786" s="4"/>
      <c r="U3786" s="4"/>
      <c r="V3786" s="4"/>
      <c r="W3786" s="4"/>
      <c r="X3786" s="4"/>
      <c r="Y3786" s="4"/>
      <c r="Z3786" s="4"/>
      <c r="AA3786" s="4"/>
      <c r="AB3786" s="5"/>
    </row>
    <row r="3787" spans="1:28" x14ac:dyDescent="0.35">
      <c r="A3787" s="3"/>
      <c r="B3787" s="4"/>
      <c r="C3787" s="4"/>
      <c r="D3787" s="4"/>
      <c r="E3787" s="4"/>
      <c r="F3787" s="4"/>
      <c r="G3787" s="4"/>
      <c r="H3787" s="4"/>
      <c r="I3787" s="4"/>
      <c r="J3787" s="4"/>
      <c r="K3787" s="4"/>
      <c r="L3787" s="4"/>
      <c r="M3787" s="4"/>
      <c r="N3787" s="4"/>
      <c r="O3787" s="4"/>
      <c r="P3787" s="4"/>
      <c r="Q3787" s="4"/>
      <c r="R3787" s="4"/>
      <c r="S3787" s="4"/>
      <c r="T3787" s="4"/>
      <c r="U3787" s="4"/>
      <c r="V3787" s="4"/>
      <c r="W3787" s="4"/>
      <c r="X3787" s="4"/>
      <c r="Y3787" s="4"/>
      <c r="Z3787" s="4"/>
      <c r="AA3787" s="4"/>
      <c r="AB3787" s="5"/>
    </row>
    <row r="3788" spans="1:28" x14ac:dyDescent="0.35">
      <c r="A3788" s="3"/>
      <c r="B3788" s="4"/>
      <c r="C3788" s="4"/>
      <c r="D3788" s="4"/>
      <c r="E3788" s="4"/>
      <c r="F3788" s="4"/>
      <c r="G3788" s="4"/>
      <c r="H3788" s="4"/>
      <c r="I3788" s="4"/>
      <c r="J3788" s="4"/>
      <c r="K3788" s="4"/>
      <c r="L3788" s="4"/>
      <c r="M3788" s="4"/>
      <c r="N3788" s="4"/>
      <c r="O3788" s="4"/>
      <c r="P3788" s="4"/>
      <c r="Q3788" s="4"/>
      <c r="R3788" s="4"/>
      <c r="S3788" s="4"/>
      <c r="T3788" s="4"/>
      <c r="U3788" s="4"/>
      <c r="V3788" s="4"/>
      <c r="W3788" s="4"/>
      <c r="X3788" s="4"/>
      <c r="Y3788" s="4"/>
      <c r="Z3788" s="4"/>
      <c r="AA3788" s="4"/>
      <c r="AB3788" s="5"/>
    </row>
    <row r="3789" spans="1:28" x14ac:dyDescent="0.35">
      <c r="A3789" s="3"/>
      <c r="B3789" s="4"/>
      <c r="C3789" s="4"/>
      <c r="D3789" s="4"/>
      <c r="E3789" s="4"/>
      <c r="F3789" s="4"/>
      <c r="G3789" s="4"/>
      <c r="H3789" s="4"/>
      <c r="I3789" s="4"/>
      <c r="J3789" s="4"/>
      <c r="K3789" s="4"/>
      <c r="L3789" s="4"/>
      <c r="M3789" s="4"/>
      <c r="N3789" s="4"/>
      <c r="O3789" s="4"/>
      <c r="P3789" s="4"/>
      <c r="Q3789" s="4"/>
      <c r="R3789" s="4"/>
      <c r="S3789" s="4"/>
      <c r="T3789" s="4"/>
      <c r="U3789" s="4"/>
      <c r="V3789" s="4"/>
      <c r="W3789" s="4"/>
      <c r="X3789" s="4"/>
      <c r="Y3789" s="4"/>
      <c r="Z3789" s="4"/>
      <c r="AA3789" s="4"/>
      <c r="AB3789" s="5"/>
    </row>
    <row r="3790" spans="1:28" x14ac:dyDescent="0.35">
      <c r="A3790" s="3"/>
      <c r="B3790" s="4"/>
      <c r="C3790" s="4"/>
      <c r="D3790" s="4"/>
      <c r="E3790" s="4"/>
      <c r="F3790" s="4"/>
      <c r="G3790" s="4"/>
      <c r="H3790" s="4"/>
      <c r="I3790" s="4"/>
      <c r="J3790" s="4"/>
      <c r="K3790" s="4"/>
      <c r="L3790" s="4"/>
      <c r="M3790" s="4"/>
      <c r="N3790" s="4"/>
      <c r="O3790" s="4"/>
      <c r="P3790" s="4"/>
      <c r="Q3790" s="4"/>
      <c r="R3790" s="4"/>
      <c r="S3790" s="4"/>
      <c r="T3790" s="4"/>
      <c r="U3790" s="4"/>
      <c r="V3790" s="4"/>
      <c r="W3790" s="4"/>
      <c r="X3790" s="4"/>
      <c r="Y3790" s="4"/>
      <c r="Z3790" s="4"/>
      <c r="AA3790" s="4"/>
      <c r="AB3790" s="5"/>
    </row>
    <row r="3791" spans="1:28" x14ac:dyDescent="0.35">
      <c r="A3791" s="3"/>
      <c r="B3791" s="4"/>
      <c r="C3791" s="4"/>
      <c r="D3791" s="4"/>
      <c r="E3791" s="4"/>
      <c r="F3791" s="4"/>
      <c r="G3791" s="4"/>
      <c r="H3791" s="4"/>
      <c r="I3791" s="4"/>
      <c r="J3791" s="4"/>
      <c r="K3791" s="4"/>
      <c r="L3791" s="4"/>
      <c r="M3791" s="4"/>
      <c r="N3791" s="4"/>
      <c r="O3791" s="4"/>
      <c r="P3791" s="4"/>
      <c r="Q3791" s="4"/>
      <c r="R3791" s="4"/>
      <c r="S3791" s="4"/>
      <c r="T3791" s="4"/>
      <c r="U3791" s="4"/>
      <c r="V3791" s="4"/>
      <c r="W3791" s="4"/>
      <c r="X3791" s="4"/>
      <c r="Y3791" s="4"/>
      <c r="Z3791" s="4"/>
      <c r="AA3791" s="4"/>
      <c r="AB3791" s="5"/>
    </row>
    <row r="3792" spans="1:28" x14ac:dyDescent="0.35">
      <c r="A3792" s="3"/>
      <c r="B3792" s="4"/>
      <c r="C3792" s="4"/>
      <c r="D3792" s="4"/>
      <c r="E3792" s="4"/>
      <c r="F3792" s="4"/>
      <c r="G3792" s="4"/>
      <c r="H3792" s="4"/>
      <c r="I3792" s="4"/>
      <c r="J3792" s="4"/>
      <c r="K3792" s="4"/>
      <c r="L3792" s="4"/>
      <c r="M3792" s="4"/>
      <c r="N3792" s="4"/>
      <c r="O3792" s="4"/>
      <c r="P3792" s="4"/>
      <c r="Q3792" s="4"/>
      <c r="R3792" s="4"/>
      <c r="S3792" s="4"/>
      <c r="T3792" s="4"/>
      <c r="U3792" s="4"/>
      <c r="V3792" s="4"/>
      <c r="W3792" s="4"/>
      <c r="X3792" s="4"/>
      <c r="Y3792" s="4"/>
      <c r="Z3792" s="4"/>
      <c r="AA3792" s="4"/>
      <c r="AB3792" s="5"/>
    </row>
    <row r="3793" spans="1:28" x14ac:dyDescent="0.35">
      <c r="A3793" s="3"/>
      <c r="B3793" s="4"/>
      <c r="C3793" s="4"/>
      <c r="D3793" s="4"/>
      <c r="E3793" s="4"/>
      <c r="F3793" s="4"/>
      <c r="G3793" s="4"/>
      <c r="H3793" s="4"/>
      <c r="I3793" s="4"/>
      <c r="J3793" s="4"/>
      <c r="K3793" s="4"/>
      <c r="L3793" s="4"/>
      <c r="M3793" s="4"/>
      <c r="N3793" s="4"/>
      <c r="O3793" s="4"/>
      <c r="P3793" s="4"/>
      <c r="Q3793" s="4"/>
      <c r="R3793" s="4"/>
      <c r="S3793" s="4"/>
      <c r="T3793" s="4"/>
      <c r="U3793" s="4"/>
      <c r="V3793" s="4"/>
      <c r="W3793" s="4"/>
      <c r="X3793" s="4"/>
      <c r="Y3793" s="4"/>
      <c r="Z3793" s="4"/>
      <c r="AA3793" s="4"/>
      <c r="AB3793" s="5"/>
    </row>
    <row r="3794" spans="1:28" x14ac:dyDescent="0.35">
      <c r="A3794" s="3"/>
      <c r="B3794" s="4"/>
      <c r="C3794" s="4"/>
      <c r="D3794" s="4"/>
      <c r="E3794" s="4"/>
      <c r="F3794" s="4"/>
      <c r="G3794" s="4"/>
      <c r="H3794" s="4"/>
      <c r="I3794" s="4"/>
      <c r="J3794" s="4"/>
      <c r="K3794" s="4"/>
      <c r="L3794" s="4"/>
      <c r="M3794" s="4"/>
      <c r="N3794" s="4"/>
      <c r="O3794" s="4"/>
      <c r="P3794" s="4"/>
      <c r="Q3794" s="4"/>
      <c r="R3794" s="4"/>
      <c r="S3794" s="4"/>
      <c r="T3794" s="4"/>
      <c r="U3794" s="4"/>
      <c r="V3794" s="4"/>
      <c r="W3794" s="4"/>
      <c r="X3794" s="4"/>
      <c r="Y3794" s="4"/>
      <c r="Z3794" s="4"/>
      <c r="AA3794" s="4"/>
      <c r="AB3794" s="5"/>
    </row>
    <row r="3795" spans="1:28" x14ac:dyDescent="0.35">
      <c r="A3795" s="3"/>
      <c r="B3795" s="4"/>
      <c r="C3795" s="4"/>
      <c r="D3795" s="4"/>
      <c r="E3795" s="4"/>
      <c r="F3795" s="4"/>
      <c r="G3795" s="4"/>
      <c r="H3795" s="4"/>
      <c r="I3795" s="4"/>
      <c r="J3795" s="4"/>
      <c r="K3795" s="4"/>
      <c r="L3795" s="4"/>
      <c r="M3795" s="4"/>
      <c r="N3795" s="4"/>
      <c r="O3795" s="4"/>
      <c r="P3795" s="4"/>
      <c r="Q3795" s="4"/>
      <c r="R3795" s="4"/>
      <c r="S3795" s="4"/>
      <c r="T3795" s="4"/>
      <c r="U3795" s="4"/>
      <c r="V3795" s="4"/>
      <c r="W3795" s="4"/>
      <c r="X3795" s="4"/>
      <c r="Y3795" s="4"/>
      <c r="Z3795" s="4"/>
      <c r="AA3795" s="4"/>
      <c r="AB3795" s="5"/>
    </row>
    <row r="3796" spans="1:28" x14ac:dyDescent="0.35">
      <c r="A3796" s="3"/>
      <c r="B3796" s="4"/>
      <c r="C3796" s="4"/>
      <c r="D3796" s="4"/>
      <c r="E3796" s="4"/>
      <c r="F3796" s="4"/>
      <c r="G3796" s="4"/>
      <c r="H3796" s="4"/>
      <c r="I3796" s="4"/>
      <c r="J3796" s="4"/>
      <c r="K3796" s="4"/>
      <c r="L3796" s="4"/>
      <c r="M3796" s="4"/>
      <c r="N3796" s="4"/>
      <c r="O3796" s="4"/>
      <c r="P3796" s="4"/>
      <c r="Q3796" s="4"/>
      <c r="R3796" s="4"/>
      <c r="S3796" s="4"/>
      <c r="T3796" s="4"/>
      <c r="U3796" s="4"/>
      <c r="V3796" s="4"/>
      <c r="W3796" s="4"/>
      <c r="X3796" s="4"/>
      <c r="Y3796" s="4"/>
      <c r="Z3796" s="4"/>
      <c r="AA3796" s="4"/>
      <c r="AB3796" s="5"/>
    </row>
    <row r="3797" spans="1:28" x14ac:dyDescent="0.35">
      <c r="A3797" s="3"/>
      <c r="B3797" s="4"/>
      <c r="C3797" s="4"/>
      <c r="D3797" s="4"/>
      <c r="E3797" s="4"/>
      <c r="F3797" s="4"/>
      <c r="G3797" s="4"/>
      <c r="H3797" s="4"/>
      <c r="I3797" s="4"/>
      <c r="J3797" s="4"/>
      <c r="K3797" s="4"/>
      <c r="L3797" s="4"/>
      <c r="M3797" s="4"/>
      <c r="N3797" s="4"/>
      <c r="O3797" s="4"/>
      <c r="P3797" s="4"/>
      <c r="Q3797" s="4"/>
      <c r="R3797" s="4"/>
      <c r="S3797" s="4"/>
      <c r="T3797" s="4"/>
      <c r="U3797" s="4"/>
      <c r="V3797" s="4"/>
      <c r="W3797" s="4"/>
      <c r="X3797" s="4"/>
      <c r="Y3797" s="4"/>
      <c r="Z3797" s="4"/>
      <c r="AA3797" s="4"/>
      <c r="AB3797" s="5"/>
    </row>
    <row r="3798" spans="1:28" x14ac:dyDescent="0.35">
      <c r="A3798" s="3"/>
      <c r="B3798" s="4"/>
      <c r="C3798" s="4"/>
      <c r="D3798" s="4"/>
      <c r="E3798" s="4"/>
      <c r="F3798" s="4"/>
      <c r="G3798" s="4"/>
      <c r="H3798" s="4"/>
      <c r="I3798" s="4"/>
      <c r="J3798" s="4"/>
      <c r="K3798" s="4"/>
      <c r="L3798" s="4"/>
      <c r="M3798" s="4"/>
      <c r="N3798" s="4"/>
      <c r="O3798" s="4"/>
      <c r="P3798" s="4"/>
      <c r="Q3798" s="4"/>
      <c r="R3798" s="4"/>
      <c r="S3798" s="4"/>
      <c r="T3798" s="4"/>
      <c r="U3798" s="4"/>
      <c r="V3798" s="4"/>
      <c r="W3798" s="4"/>
      <c r="X3798" s="4"/>
      <c r="Y3798" s="4"/>
      <c r="Z3798" s="4"/>
      <c r="AA3798" s="4"/>
      <c r="AB3798" s="5"/>
    </row>
    <row r="3799" spans="1:28" x14ac:dyDescent="0.35">
      <c r="A3799" s="3"/>
      <c r="B3799" s="4"/>
      <c r="C3799" s="4"/>
      <c r="D3799" s="4"/>
      <c r="E3799" s="4"/>
      <c r="F3799" s="4"/>
      <c r="G3799" s="4"/>
      <c r="H3799" s="4"/>
      <c r="I3799" s="4"/>
      <c r="J3799" s="4"/>
      <c r="K3799" s="4"/>
      <c r="L3799" s="4"/>
      <c r="M3799" s="4"/>
      <c r="N3799" s="4"/>
      <c r="O3799" s="4"/>
      <c r="P3799" s="4"/>
      <c r="Q3799" s="4"/>
      <c r="R3799" s="4"/>
      <c r="S3799" s="4"/>
      <c r="T3799" s="4"/>
      <c r="U3799" s="4"/>
      <c r="V3799" s="4"/>
      <c r="W3799" s="4"/>
      <c r="X3799" s="4"/>
      <c r="Y3799" s="4"/>
      <c r="Z3799" s="4"/>
      <c r="AA3799" s="4"/>
      <c r="AB3799" s="5"/>
    </row>
    <row r="3800" spans="1:28" x14ac:dyDescent="0.35">
      <c r="A3800" s="3"/>
      <c r="B3800" s="4"/>
      <c r="C3800" s="4"/>
      <c r="D3800" s="4"/>
      <c r="E3800" s="4"/>
      <c r="F3800" s="4"/>
      <c r="G3800" s="4"/>
      <c r="H3800" s="4"/>
      <c r="I3800" s="4"/>
      <c r="J3800" s="4"/>
      <c r="K3800" s="4"/>
      <c r="L3800" s="4"/>
      <c r="M3800" s="4"/>
      <c r="N3800" s="4"/>
      <c r="O3800" s="4"/>
      <c r="P3800" s="4"/>
      <c r="Q3800" s="4"/>
      <c r="R3800" s="4"/>
      <c r="S3800" s="4"/>
      <c r="T3800" s="4"/>
      <c r="U3800" s="4"/>
      <c r="V3800" s="4"/>
      <c r="W3800" s="4"/>
      <c r="X3800" s="4"/>
      <c r="Y3800" s="4"/>
      <c r="Z3800" s="4"/>
      <c r="AA3800" s="4"/>
      <c r="AB3800" s="5"/>
    </row>
    <row r="3801" spans="1:28" x14ac:dyDescent="0.35">
      <c r="A3801" s="3"/>
      <c r="B3801" s="4"/>
      <c r="C3801" s="4"/>
      <c r="D3801" s="4"/>
      <c r="E3801" s="4"/>
      <c r="F3801" s="4"/>
      <c r="G3801" s="4"/>
      <c r="H3801" s="4"/>
      <c r="I3801" s="4"/>
      <c r="J3801" s="4"/>
      <c r="K3801" s="4"/>
      <c r="L3801" s="4"/>
      <c r="M3801" s="4"/>
      <c r="N3801" s="4"/>
      <c r="O3801" s="4"/>
      <c r="P3801" s="4"/>
      <c r="Q3801" s="4"/>
      <c r="R3801" s="4"/>
      <c r="S3801" s="4"/>
      <c r="T3801" s="4"/>
      <c r="U3801" s="4"/>
      <c r="V3801" s="4"/>
      <c r="W3801" s="4"/>
      <c r="X3801" s="4"/>
      <c r="Y3801" s="4"/>
      <c r="Z3801" s="4"/>
      <c r="AA3801" s="4"/>
      <c r="AB3801" s="5"/>
    </row>
    <row r="3802" spans="1:28" x14ac:dyDescent="0.35">
      <c r="A3802" s="3"/>
      <c r="B3802" s="4"/>
      <c r="C3802" s="4"/>
      <c r="D3802" s="4"/>
      <c r="E3802" s="4"/>
      <c r="F3802" s="4"/>
      <c r="G3802" s="4"/>
      <c r="H3802" s="4"/>
      <c r="I3802" s="4"/>
      <c r="J3802" s="4"/>
      <c r="K3802" s="4"/>
      <c r="L3802" s="4"/>
      <c r="M3802" s="4"/>
      <c r="N3802" s="4"/>
      <c r="O3802" s="4"/>
      <c r="P3802" s="4"/>
      <c r="Q3802" s="4"/>
      <c r="R3802" s="4"/>
      <c r="S3802" s="4"/>
      <c r="T3802" s="4"/>
      <c r="U3802" s="4"/>
      <c r="V3802" s="4"/>
      <c r="W3802" s="4"/>
      <c r="X3802" s="4"/>
      <c r="Y3802" s="4"/>
      <c r="Z3802" s="4"/>
      <c r="AA3802" s="4"/>
      <c r="AB3802" s="5"/>
    </row>
    <row r="3803" spans="1:28" x14ac:dyDescent="0.35">
      <c r="A3803" s="3"/>
      <c r="B3803" s="4"/>
      <c r="C3803" s="4"/>
      <c r="D3803" s="4"/>
      <c r="E3803" s="4"/>
      <c r="F3803" s="4"/>
      <c r="G3803" s="4"/>
      <c r="H3803" s="4"/>
      <c r="I3803" s="4"/>
      <c r="J3803" s="4"/>
      <c r="K3803" s="4"/>
      <c r="L3803" s="4"/>
      <c r="M3803" s="4"/>
      <c r="N3803" s="4"/>
      <c r="O3803" s="4"/>
      <c r="P3803" s="4"/>
      <c r="Q3803" s="4"/>
      <c r="R3803" s="4"/>
      <c r="S3803" s="4"/>
      <c r="T3803" s="4"/>
      <c r="U3803" s="4"/>
      <c r="V3803" s="4"/>
      <c r="W3803" s="4"/>
      <c r="X3803" s="4"/>
      <c r="Y3803" s="4"/>
      <c r="Z3803" s="4"/>
      <c r="AA3803" s="4"/>
      <c r="AB3803" s="5"/>
    </row>
    <row r="3804" spans="1:28" x14ac:dyDescent="0.35">
      <c r="A3804" s="3"/>
      <c r="B3804" s="4"/>
      <c r="C3804" s="4"/>
      <c r="D3804" s="4"/>
      <c r="E3804" s="4"/>
      <c r="F3804" s="4"/>
      <c r="G3804" s="4"/>
      <c r="H3804" s="4"/>
      <c r="I3804" s="4"/>
      <c r="J3804" s="4"/>
      <c r="K3804" s="4"/>
      <c r="L3804" s="4"/>
      <c r="M3804" s="4"/>
      <c r="N3804" s="4"/>
      <c r="O3804" s="4"/>
      <c r="P3804" s="4"/>
      <c r="Q3804" s="4"/>
      <c r="R3804" s="4"/>
      <c r="S3804" s="4"/>
      <c r="T3804" s="4"/>
      <c r="U3804" s="4"/>
      <c r="V3804" s="4"/>
      <c r="W3804" s="4"/>
      <c r="X3804" s="4"/>
      <c r="Y3804" s="4"/>
      <c r="Z3804" s="4"/>
      <c r="AA3804" s="4"/>
      <c r="AB3804" s="5"/>
    </row>
    <row r="3805" spans="1:28" x14ac:dyDescent="0.35">
      <c r="A3805" s="3"/>
      <c r="B3805" s="4"/>
      <c r="C3805" s="4"/>
      <c r="D3805" s="4"/>
      <c r="E3805" s="4"/>
      <c r="F3805" s="4"/>
      <c r="G3805" s="4"/>
      <c r="H3805" s="4"/>
      <c r="I3805" s="4"/>
      <c r="J3805" s="4"/>
      <c r="K3805" s="4"/>
      <c r="L3805" s="4"/>
      <c r="M3805" s="4"/>
      <c r="N3805" s="4"/>
      <c r="O3805" s="4"/>
      <c r="P3805" s="4"/>
      <c r="Q3805" s="4"/>
      <c r="R3805" s="4"/>
      <c r="S3805" s="4"/>
      <c r="T3805" s="4"/>
      <c r="U3805" s="4"/>
      <c r="V3805" s="4"/>
      <c r="W3805" s="4"/>
      <c r="X3805" s="4"/>
      <c r="Y3805" s="4"/>
      <c r="Z3805" s="4"/>
      <c r="AA3805" s="4"/>
      <c r="AB3805" s="5"/>
    </row>
    <row r="3806" spans="1:28" x14ac:dyDescent="0.35">
      <c r="A3806" s="3"/>
      <c r="B3806" s="4"/>
      <c r="C3806" s="4"/>
      <c r="D3806" s="4"/>
      <c r="E3806" s="4"/>
      <c r="F3806" s="4"/>
      <c r="G3806" s="4"/>
      <c r="H3806" s="4"/>
      <c r="I3806" s="4"/>
      <c r="J3806" s="4"/>
      <c r="K3806" s="4"/>
      <c r="L3806" s="4"/>
      <c r="M3806" s="4"/>
      <c r="N3806" s="4"/>
      <c r="O3806" s="4"/>
      <c r="P3806" s="4"/>
      <c r="Q3806" s="4"/>
      <c r="R3806" s="4"/>
      <c r="S3806" s="4"/>
      <c r="T3806" s="4"/>
      <c r="U3806" s="4"/>
      <c r="V3806" s="4"/>
      <c r="W3806" s="4"/>
      <c r="X3806" s="4"/>
      <c r="Y3806" s="4"/>
      <c r="Z3806" s="4"/>
      <c r="AA3806" s="4"/>
      <c r="AB3806" s="5"/>
    </row>
    <row r="3807" spans="1:28" x14ac:dyDescent="0.35">
      <c r="A3807" s="3"/>
      <c r="B3807" s="4"/>
      <c r="C3807" s="4"/>
      <c r="D3807" s="4"/>
      <c r="E3807" s="4"/>
      <c r="F3807" s="4"/>
      <c r="G3807" s="4"/>
      <c r="H3807" s="4"/>
      <c r="I3807" s="4"/>
      <c r="J3807" s="4"/>
      <c r="K3807" s="4"/>
      <c r="L3807" s="4"/>
      <c r="M3807" s="4"/>
      <c r="N3807" s="4"/>
      <c r="O3807" s="4"/>
      <c r="P3807" s="4"/>
      <c r="Q3807" s="4"/>
      <c r="R3807" s="4"/>
      <c r="S3807" s="4"/>
      <c r="T3807" s="4"/>
      <c r="U3807" s="4"/>
      <c r="V3807" s="4"/>
      <c r="W3807" s="4"/>
      <c r="X3807" s="4"/>
      <c r="Y3807" s="4"/>
      <c r="Z3807" s="4"/>
      <c r="AA3807" s="4"/>
      <c r="AB3807" s="5"/>
    </row>
    <row r="3808" spans="1:28" x14ac:dyDescent="0.35">
      <c r="A3808" s="3"/>
      <c r="B3808" s="4"/>
      <c r="C3808" s="4"/>
      <c r="D3808" s="4"/>
      <c r="E3808" s="4"/>
      <c r="F3808" s="4"/>
      <c r="G3808" s="4"/>
      <c r="H3808" s="4"/>
      <c r="I3808" s="4"/>
      <c r="J3808" s="4"/>
      <c r="K3808" s="4"/>
      <c r="L3808" s="4"/>
      <c r="M3808" s="4"/>
      <c r="N3808" s="4"/>
      <c r="O3808" s="4"/>
      <c r="P3808" s="4"/>
      <c r="Q3808" s="4"/>
      <c r="R3808" s="4"/>
      <c r="S3808" s="4"/>
      <c r="T3808" s="4"/>
      <c r="U3808" s="4"/>
      <c r="V3808" s="4"/>
      <c r="W3808" s="4"/>
      <c r="X3808" s="4"/>
      <c r="Y3808" s="4"/>
      <c r="Z3808" s="4"/>
      <c r="AA3808" s="4"/>
      <c r="AB3808" s="5"/>
    </row>
    <row r="3809" spans="1:28" x14ac:dyDescent="0.35">
      <c r="A3809" s="3"/>
      <c r="B3809" s="4"/>
      <c r="C3809" s="4"/>
      <c r="D3809" s="4"/>
      <c r="E3809" s="4"/>
      <c r="F3809" s="4"/>
      <c r="G3809" s="4"/>
      <c r="H3809" s="4"/>
      <c r="I3809" s="4"/>
      <c r="J3809" s="4"/>
      <c r="K3809" s="4"/>
      <c r="L3809" s="4"/>
      <c r="M3809" s="4"/>
      <c r="N3809" s="4"/>
      <c r="O3809" s="4"/>
      <c r="P3809" s="4"/>
      <c r="Q3809" s="4"/>
      <c r="R3809" s="4"/>
      <c r="S3809" s="4"/>
      <c r="T3809" s="4"/>
      <c r="U3809" s="4"/>
      <c r="V3809" s="4"/>
      <c r="W3809" s="4"/>
      <c r="X3809" s="4"/>
      <c r="Y3809" s="4"/>
      <c r="Z3809" s="4"/>
      <c r="AA3809" s="4"/>
      <c r="AB3809" s="5"/>
    </row>
    <row r="3810" spans="1:28" x14ac:dyDescent="0.35">
      <c r="A3810" s="3"/>
      <c r="B3810" s="4"/>
      <c r="C3810" s="4"/>
      <c r="D3810" s="4"/>
      <c r="E3810" s="4"/>
      <c r="F3810" s="4"/>
      <c r="G3810" s="4"/>
      <c r="H3810" s="4"/>
      <c r="I3810" s="4"/>
      <c r="J3810" s="4"/>
      <c r="K3810" s="4"/>
      <c r="L3810" s="4"/>
      <c r="M3810" s="4"/>
      <c r="N3810" s="4"/>
      <c r="O3810" s="4"/>
      <c r="P3810" s="4"/>
      <c r="Q3810" s="4"/>
      <c r="R3810" s="4"/>
      <c r="S3810" s="4"/>
      <c r="T3810" s="4"/>
      <c r="U3810" s="4"/>
      <c r="V3810" s="4"/>
      <c r="W3810" s="4"/>
      <c r="X3810" s="4"/>
      <c r="Y3810" s="4"/>
      <c r="Z3810" s="4"/>
      <c r="AA3810" s="4"/>
      <c r="AB3810" s="5"/>
    </row>
    <row r="3811" spans="1:28" x14ac:dyDescent="0.35">
      <c r="A3811" s="3"/>
      <c r="B3811" s="4"/>
      <c r="C3811" s="4"/>
      <c r="D3811" s="4"/>
      <c r="E3811" s="4"/>
      <c r="F3811" s="4"/>
      <c r="G3811" s="4"/>
      <c r="H3811" s="4"/>
      <c r="I3811" s="4"/>
      <c r="J3811" s="4"/>
      <c r="K3811" s="4"/>
      <c r="L3811" s="4"/>
      <c r="M3811" s="4"/>
      <c r="N3811" s="4"/>
      <c r="O3811" s="4"/>
      <c r="P3811" s="4"/>
      <c r="Q3811" s="4"/>
      <c r="R3811" s="4"/>
      <c r="S3811" s="4"/>
      <c r="T3811" s="4"/>
      <c r="U3811" s="4"/>
      <c r="V3811" s="4"/>
      <c r="W3811" s="4"/>
      <c r="X3811" s="4"/>
      <c r="Y3811" s="4"/>
      <c r="Z3811" s="4"/>
      <c r="AA3811" s="4"/>
      <c r="AB3811" s="5"/>
    </row>
    <row r="3812" spans="1:28" x14ac:dyDescent="0.35">
      <c r="A3812" s="3"/>
      <c r="B3812" s="4"/>
      <c r="C3812" s="4"/>
      <c r="D3812" s="4"/>
      <c r="E3812" s="4"/>
      <c r="F3812" s="4"/>
      <c r="G3812" s="4"/>
      <c r="H3812" s="4"/>
      <c r="I3812" s="4"/>
      <c r="J3812" s="4"/>
      <c r="K3812" s="4"/>
      <c r="L3812" s="4"/>
      <c r="M3812" s="4"/>
      <c r="N3812" s="4"/>
      <c r="O3812" s="4"/>
      <c r="P3812" s="4"/>
      <c r="Q3812" s="4"/>
      <c r="R3812" s="4"/>
      <c r="S3812" s="4"/>
      <c r="T3812" s="4"/>
      <c r="U3812" s="4"/>
      <c r="V3812" s="4"/>
      <c r="W3812" s="4"/>
      <c r="X3812" s="4"/>
      <c r="Y3812" s="4"/>
      <c r="Z3812" s="4"/>
      <c r="AA3812" s="4"/>
      <c r="AB3812" s="5"/>
    </row>
    <row r="3813" spans="1:28" x14ac:dyDescent="0.35">
      <c r="A3813" s="3"/>
      <c r="B3813" s="4"/>
      <c r="C3813" s="4"/>
      <c r="D3813" s="4"/>
      <c r="E3813" s="4"/>
      <c r="F3813" s="4"/>
      <c r="G3813" s="4"/>
      <c r="H3813" s="4"/>
      <c r="I3813" s="4"/>
      <c r="J3813" s="4"/>
      <c r="K3813" s="4"/>
      <c r="L3813" s="4"/>
      <c r="M3813" s="4"/>
      <c r="N3813" s="4"/>
      <c r="O3813" s="4"/>
      <c r="P3813" s="4"/>
      <c r="Q3813" s="4"/>
      <c r="R3813" s="4"/>
      <c r="S3813" s="4"/>
      <c r="T3813" s="4"/>
      <c r="U3813" s="4"/>
      <c r="V3813" s="4"/>
      <c r="W3813" s="4"/>
      <c r="X3813" s="4"/>
      <c r="Y3813" s="4"/>
      <c r="Z3813" s="4"/>
      <c r="AA3813" s="4"/>
      <c r="AB3813" s="5"/>
    </row>
    <row r="3814" spans="1:28" x14ac:dyDescent="0.35">
      <c r="A3814" s="3"/>
      <c r="B3814" s="4"/>
      <c r="C3814" s="4"/>
      <c r="D3814" s="4"/>
      <c r="E3814" s="4"/>
      <c r="F3814" s="4"/>
      <c r="G3814" s="4"/>
      <c r="H3814" s="4"/>
      <c r="I3814" s="4"/>
      <c r="J3814" s="4"/>
      <c r="K3814" s="4"/>
      <c r="L3814" s="4"/>
      <c r="M3814" s="4"/>
      <c r="N3814" s="4"/>
      <c r="O3814" s="4"/>
      <c r="P3814" s="4"/>
      <c r="Q3814" s="4"/>
      <c r="R3814" s="4"/>
      <c r="S3814" s="4"/>
      <c r="T3814" s="4"/>
      <c r="U3814" s="4"/>
      <c r="V3814" s="4"/>
      <c r="W3814" s="4"/>
      <c r="X3814" s="4"/>
      <c r="Y3814" s="4"/>
      <c r="Z3814" s="4"/>
      <c r="AA3814" s="4"/>
      <c r="AB3814" s="5"/>
    </row>
    <row r="3815" spans="1:28" x14ac:dyDescent="0.35">
      <c r="A3815" s="3"/>
      <c r="B3815" s="4"/>
      <c r="C3815" s="4"/>
      <c r="D3815" s="4"/>
      <c r="E3815" s="4"/>
      <c r="F3815" s="4"/>
      <c r="G3815" s="4"/>
      <c r="H3815" s="4"/>
      <c r="I3815" s="4"/>
      <c r="J3815" s="4"/>
      <c r="K3815" s="4"/>
      <c r="L3815" s="4"/>
      <c r="M3815" s="4"/>
      <c r="N3815" s="4"/>
      <c r="O3815" s="4"/>
      <c r="P3815" s="4"/>
      <c r="Q3815" s="4"/>
      <c r="R3815" s="4"/>
      <c r="S3815" s="4"/>
      <c r="T3815" s="4"/>
      <c r="U3815" s="4"/>
      <c r="V3815" s="4"/>
      <c r="W3815" s="4"/>
      <c r="X3815" s="4"/>
      <c r="Y3815" s="4"/>
      <c r="Z3815" s="4"/>
      <c r="AA3815" s="4"/>
      <c r="AB3815" s="5"/>
    </row>
    <row r="3816" spans="1:28" x14ac:dyDescent="0.35">
      <c r="A3816" s="3"/>
      <c r="B3816" s="4"/>
      <c r="C3816" s="4"/>
      <c r="D3816" s="4"/>
      <c r="E3816" s="4"/>
      <c r="F3816" s="4"/>
      <c r="G3816" s="4"/>
      <c r="H3816" s="4"/>
      <c r="I3816" s="4"/>
      <c r="J3816" s="4"/>
      <c r="K3816" s="4"/>
      <c r="L3816" s="4"/>
      <c r="M3816" s="4"/>
      <c r="N3816" s="4"/>
      <c r="O3816" s="4"/>
      <c r="P3816" s="4"/>
      <c r="Q3816" s="4"/>
      <c r="R3816" s="4"/>
      <c r="S3816" s="4"/>
      <c r="T3816" s="4"/>
      <c r="U3816" s="4"/>
      <c r="V3816" s="4"/>
      <c r="W3816" s="4"/>
      <c r="X3816" s="4"/>
      <c r="Y3816" s="4"/>
      <c r="Z3816" s="4"/>
      <c r="AA3816" s="4"/>
      <c r="AB3816" s="5"/>
    </row>
    <row r="3817" spans="1:28" x14ac:dyDescent="0.35">
      <c r="A3817" s="3"/>
      <c r="B3817" s="4"/>
      <c r="C3817" s="4"/>
      <c r="D3817" s="4"/>
      <c r="E3817" s="4"/>
      <c r="F3817" s="4"/>
      <c r="G3817" s="4"/>
      <c r="H3817" s="4"/>
      <c r="I3817" s="4"/>
      <c r="J3817" s="4"/>
      <c r="K3817" s="4"/>
      <c r="L3817" s="4"/>
      <c r="M3817" s="4"/>
      <c r="N3817" s="4"/>
      <c r="O3817" s="4"/>
      <c r="P3817" s="4"/>
      <c r="Q3817" s="4"/>
      <c r="R3817" s="4"/>
      <c r="S3817" s="4"/>
      <c r="T3817" s="4"/>
      <c r="U3817" s="4"/>
      <c r="V3817" s="4"/>
      <c r="W3817" s="4"/>
      <c r="X3817" s="4"/>
      <c r="Y3817" s="4"/>
      <c r="Z3817" s="4"/>
      <c r="AA3817" s="4"/>
      <c r="AB3817" s="5"/>
    </row>
    <row r="3818" spans="1:28" x14ac:dyDescent="0.35">
      <c r="A3818" s="3"/>
      <c r="B3818" s="4"/>
      <c r="C3818" s="4"/>
      <c r="D3818" s="4"/>
      <c r="E3818" s="4"/>
      <c r="F3818" s="4"/>
      <c r="G3818" s="4"/>
      <c r="H3818" s="4"/>
      <c r="I3818" s="4"/>
      <c r="J3818" s="4"/>
      <c r="K3818" s="4"/>
      <c r="L3818" s="4"/>
      <c r="M3818" s="4"/>
      <c r="N3818" s="4"/>
      <c r="O3818" s="4"/>
      <c r="P3818" s="4"/>
      <c r="Q3818" s="4"/>
      <c r="R3818" s="4"/>
      <c r="S3818" s="4"/>
      <c r="T3818" s="4"/>
      <c r="U3818" s="4"/>
      <c r="V3818" s="4"/>
      <c r="W3818" s="4"/>
      <c r="X3818" s="4"/>
      <c r="Y3818" s="4"/>
      <c r="Z3818" s="4"/>
      <c r="AA3818" s="4"/>
      <c r="AB3818" s="5"/>
    </row>
    <row r="3819" spans="1:28" x14ac:dyDescent="0.35">
      <c r="A3819" s="3"/>
      <c r="B3819" s="4"/>
      <c r="C3819" s="4"/>
      <c r="D3819" s="4"/>
      <c r="E3819" s="4"/>
      <c r="F3819" s="4"/>
      <c r="G3819" s="4"/>
      <c r="H3819" s="4"/>
      <c r="I3819" s="4"/>
      <c r="J3819" s="4"/>
      <c r="K3819" s="4"/>
      <c r="L3819" s="4"/>
      <c r="M3819" s="4"/>
      <c r="N3819" s="4"/>
      <c r="O3819" s="4"/>
      <c r="P3819" s="4"/>
      <c r="Q3819" s="4"/>
      <c r="R3819" s="4"/>
      <c r="S3819" s="4"/>
      <c r="T3819" s="4"/>
      <c r="U3819" s="4"/>
      <c r="V3819" s="4"/>
      <c r="W3819" s="4"/>
      <c r="X3819" s="4"/>
      <c r="Y3819" s="4"/>
      <c r="Z3819" s="4"/>
      <c r="AA3819" s="4"/>
      <c r="AB3819" s="5"/>
    </row>
    <row r="3820" spans="1:28" x14ac:dyDescent="0.35">
      <c r="A3820" s="3"/>
      <c r="B3820" s="4"/>
      <c r="C3820" s="4"/>
      <c r="D3820" s="4"/>
      <c r="E3820" s="4"/>
      <c r="F3820" s="4"/>
      <c r="G3820" s="4"/>
      <c r="H3820" s="4"/>
      <c r="I3820" s="4"/>
      <c r="J3820" s="4"/>
      <c r="K3820" s="4"/>
      <c r="L3820" s="4"/>
      <c r="M3820" s="4"/>
      <c r="N3820" s="4"/>
      <c r="O3820" s="4"/>
      <c r="P3820" s="4"/>
      <c r="Q3820" s="4"/>
      <c r="R3820" s="4"/>
      <c r="S3820" s="4"/>
      <c r="T3820" s="4"/>
      <c r="U3820" s="4"/>
      <c r="V3820" s="4"/>
      <c r="W3820" s="4"/>
      <c r="X3820" s="4"/>
      <c r="Y3820" s="4"/>
      <c r="Z3820" s="4"/>
      <c r="AA3820" s="4"/>
      <c r="AB3820" s="5"/>
    </row>
    <row r="3821" spans="1:28" x14ac:dyDescent="0.35">
      <c r="A3821" s="3"/>
      <c r="B3821" s="4"/>
      <c r="C3821" s="4"/>
      <c r="D3821" s="4"/>
      <c r="E3821" s="4"/>
      <c r="F3821" s="4"/>
      <c r="G3821" s="4"/>
      <c r="H3821" s="4"/>
      <c r="I3821" s="4"/>
      <c r="J3821" s="4"/>
      <c r="K3821" s="4"/>
      <c r="L3821" s="4"/>
      <c r="M3821" s="4"/>
      <c r="N3821" s="4"/>
      <c r="O3821" s="4"/>
      <c r="P3821" s="4"/>
      <c r="Q3821" s="4"/>
      <c r="R3821" s="4"/>
      <c r="S3821" s="4"/>
      <c r="T3821" s="4"/>
      <c r="U3821" s="4"/>
      <c r="V3821" s="4"/>
      <c r="W3821" s="4"/>
      <c r="X3821" s="4"/>
      <c r="Y3821" s="4"/>
      <c r="Z3821" s="4"/>
      <c r="AA3821" s="4"/>
      <c r="AB3821" s="5"/>
    </row>
    <row r="3822" spans="1:28" x14ac:dyDescent="0.35">
      <c r="A3822" s="3"/>
      <c r="B3822" s="4"/>
      <c r="C3822" s="4"/>
      <c r="D3822" s="4"/>
      <c r="E3822" s="4"/>
      <c r="F3822" s="4"/>
      <c r="G3822" s="4"/>
      <c r="H3822" s="4"/>
      <c r="I3822" s="4"/>
      <c r="J3822" s="4"/>
      <c r="K3822" s="4"/>
      <c r="L3822" s="4"/>
      <c r="M3822" s="4"/>
      <c r="N3822" s="4"/>
      <c r="O3822" s="4"/>
      <c r="P3822" s="4"/>
      <c r="Q3822" s="4"/>
      <c r="R3822" s="4"/>
      <c r="S3822" s="4"/>
      <c r="T3822" s="4"/>
      <c r="U3822" s="4"/>
      <c r="V3822" s="4"/>
      <c r="W3822" s="4"/>
      <c r="X3822" s="4"/>
      <c r="Y3822" s="4"/>
      <c r="Z3822" s="4"/>
      <c r="AA3822" s="4"/>
      <c r="AB3822" s="5"/>
    </row>
    <row r="3823" spans="1:28" x14ac:dyDescent="0.35">
      <c r="A3823" s="3"/>
      <c r="B3823" s="4"/>
      <c r="C3823" s="4"/>
      <c r="D3823" s="4"/>
      <c r="E3823" s="4"/>
      <c r="F3823" s="4"/>
      <c r="G3823" s="4"/>
      <c r="H3823" s="4"/>
      <c r="I3823" s="4"/>
      <c r="J3823" s="4"/>
      <c r="K3823" s="4"/>
      <c r="L3823" s="4"/>
      <c r="M3823" s="4"/>
      <c r="N3823" s="4"/>
      <c r="O3823" s="4"/>
      <c r="P3823" s="4"/>
      <c r="Q3823" s="4"/>
      <c r="R3823" s="4"/>
      <c r="S3823" s="4"/>
      <c r="T3823" s="4"/>
      <c r="U3823" s="4"/>
      <c r="V3823" s="4"/>
      <c r="W3823" s="4"/>
      <c r="X3823" s="4"/>
      <c r="Y3823" s="4"/>
      <c r="Z3823" s="4"/>
      <c r="AA3823" s="4"/>
      <c r="AB3823" s="5"/>
    </row>
    <row r="3824" spans="1:28" x14ac:dyDescent="0.35">
      <c r="A3824" s="3"/>
      <c r="B3824" s="4"/>
      <c r="C3824" s="4"/>
      <c r="D3824" s="4"/>
      <c r="E3824" s="4"/>
      <c r="F3824" s="4"/>
      <c r="G3824" s="4"/>
      <c r="H3824" s="4"/>
      <c r="I3824" s="4"/>
      <c r="J3824" s="4"/>
      <c r="K3824" s="4"/>
      <c r="L3824" s="4"/>
      <c r="M3824" s="4"/>
      <c r="N3824" s="4"/>
      <c r="O3824" s="4"/>
      <c r="P3824" s="4"/>
      <c r="Q3824" s="4"/>
      <c r="R3824" s="4"/>
      <c r="S3824" s="4"/>
      <c r="T3824" s="4"/>
      <c r="U3824" s="4"/>
      <c r="V3824" s="4"/>
      <c r="W3824" s="4"/>
      <c r="X3824" s="4"/>
      <c r="Y3824" s="4"/>
      <c r="Z3824" s="4"/>
      <c r="AA3824" s="4"/>
      <c r="AB3824" s="5"/>
    </row>
    <row r="3825" spans="1:28" x14ac:dyDescent="0.35">
      <c r="A3825" s="3"/>
      <c r="B3825" s="4"/>
      <c r="C3825" s="4"/>
      <c r="D3825" s="4"/>
      <c r="E3825" s="4"/>
      <c r="F3825" s="4"/>
      <c r="G3825" s="4"/>
      <c r="H3825" s="4"/>
      <c r="I3825" s="4"/>
      <c r="J3825" s="4"/>
      <c r="K3825" s="4"/>
      <c r="L3825" s="4"/>
      <c r="M3825" s="4"/>
      <c r="N3825" s="4"/>
      <c r="O3825" s="4"/>
      <c r="P3825" s="4"/>
      <c r="Q3825" s="4"/>
      <c r="R3825" s="4"/>
      <c r="S3825" s="4"/>
      <c r="T3825" s="4"/>
      <c r="U3825" s="4"/>
      <c r="V3825" s="4"/>
      <c r="W3825" s="4"/>
      <c r="X3825" s="4"/>
      <c r="Y3825" s="4"/>
      <c r="Z3825" s="4"/>
      <c r="AA3825" s="4"/>
      <c r="AB3825" s="5"/>
    </row>
    <row r="3826" spans="1:28" x14ac:dyDescent="0.35">
      <c r="A3826" s="3"/>
      <c r="B3826" s="4"/>
      <c r="C3826" s="4"/>
      <c r="D3826" s="4"/>
      <c r="E3826" s="4"/>
      <c r="F3826" s="4"/>
      <c r="G3826" s="4"/>
      <c r="H3826" s="4"/>
      <c r="I3826" s="4"/>
      <c r="J3826" s="4"/>
      <c r="K3826" s="4"/>
      <c r="L3826" s="4"/>
      <c r="M3826" s="4"/>
      <c r="N3826" s="4"/>
      <c r="O3826" s="4"/>
      <c r="P3826" s="4"/>
      <c r="Q3826" s="4"/>
      <c r="R3826" s="4"/>
      <c r="S3826" s="4"/>
      <c r="T3826" s="4"/>
      <c r="U3826" s="4"/>
      <c r="V3826" s="4"/>
      <c r="W3826" s="4"/>
      <c r="X3826" s="4"/>
      <c r="Y3826" s="4"/>
      <c r="Z3826" s="4"/>
      <c r="AA3826" s="4"/>
      <c r="AB3826" s="5"/>
    </row>
    <row r="3827" spans="1:28" x14ac:dyDescent="0.35">
      <c r="A3827" s="3"/>
      <c r="B3827" s="4"/>
      <c r="C3827" s="4"/>
      <c r="D3827" s="4"/>
      <c r="E3827" s="4"/>
      <c r="F3827" s="4"/>
      <c r="G3827" s="4"/>
      <c r="H3827" s="4"/>
      <c r="I3827" s="4"/>
      <c r="J3827" s="4"/>
      <c r="K3827" s="4"/>
      <c r="L3827" s="4"/>
      <c r="M3827" s="4"/>
      <c r="N3827" s="4"/>
      <c r="O3827" s="4"/>
      <c r="P3827" s="4"/>
      <c r="Q3827" s="4"/>
      <c r="R3827" s="4"/>
      <c r="S3827" s="4"/>
      <c r="T3827" s="4"/>
      <c r="U3827" s="4"/>
      <c r="V3827" s="4"/>
      <c r="W3827" s="4"/>
      <c r="X3827" s="4"/>
      <c r="Y3827" s="4"/>
      <c r="Z3827" s="4"/>
      <c r="AA3827" s="4"/>
      <c r="AB3827" s="5"/>
    </row>
    <row r="3828" spans="1:28" x14ac:dyDescent="0.35">
      <c r="A3828" s="3"/>
      <c r="B3828" s="4"/>
      <c r="C3828" s="4"/>
      <c r="D3828" s="4"/>
      <c r="E3828" s="4"/>
      <c r="F3828" s="4"/>
      <c r="G3828" s="4"/>
      <c r="H3828" s="4"/>
      <c r="I3828" s="4"/>
      <c r="J3828" s="4"/>
      <c r="K3828" s="4"/>
      <c r="L3828" s="4"/>
      <c r="M3828" s="4"/>
      <c r="N3828" s="4"/>
      <c r="O3828" s="4"/>
      <c r="P3828" s="4"/>
      <c r="Q3828" s="4"/>
      <c r="R3828" s="4"/>
      <c r="S3828" s="4"/>
      <c r="T3828" s="4"/>
      <c r="U3828" s="4"/>
      <c r="V3828" s="4"/>
      <c r="W3828" s="4"/>
      <c r="X3828" s="4"/>
      <c r="Y3828" s="4"/>
      <c r="Z3828" s="4"/>
      <c r="AA3828" s="4"/>
      <c r="AB3828" s="5"/>
    </row>
    <row r="3829" spans="1:28" x14ac:dyDescent="0.35">
      <c r="A3829" s="3"/>
      <c r="B3829" s="4"/>
      <c r="C3829" s="4"/>
      <c r="D3829" s="4"/>
      <c r="E3829" s="4"/>
      <c r="F3829" s="4"/>
      <c r="G3829" s="4"/>
      <c r="H3829" s="4"/>
      <c r="I3829" s="4"/>
      <c r="J3829" s="4"/>
      <c r="K3829" s="4"/>
      <c r="L3829" s="4"/>
      <c r="M3829" s="4"/>
      <c r="N3829" s="4"/>
      <c r="O3829" s="4"/>
      <c r="P3829" s="4"/>
      <c r="Q3829" s="4"/>
      <c r="R3829" s="4"/>
      <c r="S3829" s="4"/>
      <c r="T3829" s="4"/>
      <c r="U3829" s="4"/>
      <c r="V3829" s="4"/>
      <c r="W3829" s="4"/>
      <c r="X3829" s="4"/>
      <c r="Y3829" s="4"/>
      <c r="Z3829" s="4"/>
      <c r="AA3829" s="4"/>
      <c r="AB3829" s="5"/>
    </row>
    <row r="3830" spans="1:28" x14ac:dyDescent="0.35">
      <c r="A3830" s="3"/>
      <c r="B3830" s="4"/>
      <c r="C3830" s="4"/>
      <c r="D3830" s="4"/>
      <c r="E3830" s="4"/>
      <c r="F3830" s="4"/>
      <c r="G3830" s="4"/>
      <c r="H3830" s="4"/>
      <c r="I3830" s="4"/>
      <c r="J3830" s="4"/>
      <c r="K3830" s="4"/>
      <c r="L3830" s="4"/>
      <c r="M3830" s="4"/>
      <c r="N3830" s="4"/>
      <c r="O3830" s="4"/>
      <c r="P3830" s="4"/>
      <c r="Q3830" s="4"/>
      <c r="R3830" s="4"/>
      <c r="S3830" s="4"/>
      <c r="T3830" s="4"/>
      <c r="U3830" s="4"/>
      <c r="V3830" s="4"/>
      <c r="W3830" s="4"/>
      <c r="X3830" s="4"/>
      <c r="Y3830" s="4"/>
      <c r="Z3830" s="4"/>
      <c r="AA3830" s="4"/>
      <c r="AB3830" s="5"/>
    </row>
    <row r="3831" spans="1:28" x14ac:dyDescent="0.35">
      <c r="A3831" s="3"/>
      <c r="B3831" s="4"/>
      <c r="C3831" s="4"/>
      <c r="D3831" s="4"/>
      <c r="E3831" s="4"/>
      <c r="F3831" s="4"/>
      <c r="G3831" s="4"/>
      <c r="H3831" s="4"/>
      <c r="I3831" s="4"/>
      <c r="J3831" s="4"/>
      <c r="K3831" s="4"/>
      <c r="L3831" s="4"/>
      <c r="M3831" s="4"/>
      <c r="N3831" s="4"/>
      <c r="O3831" s="4"/>
      <c r="P3831" s="4"/>
      <c r="Q3831" s="4"/>
      <c r="R3831" s="4"/>
      <c r="S3831" s="4"/>
      <c r="T3831" s="4"/>
      <c r="U3831" s="4"/>
      <c r="V3831" s="4"/>
      <c r="W3831" s="4"/>
      <c r="X3831" s="4"/>
      <c r="Y3831" s="4"/>
      <c r="Z3831" s="4"/>
      <c r="AA3831" s="4"/>
      <c r="AB3831" s="5"/>
    </row>
    <row r="3832" spans="1:28" x14ac:dyDescent="0.35">
      <c r="A3832" s="3"/>
      <c r="B3832" s="4"/>
      <c r="C3832" s="4"/>
      <c r="D3832" s="4"/>
      <c r="E3832" s="4"/>
      <c r="F3832" s="4"/>
      <c r="G3832" s="4"/>
      <c r="H3832" s="4"/>
      <c r="I3832" s="4"/>
      <c r="J3832" s="4"/>
      <c r="K3832" s="4"/>
      <c r="L3832" s="4"/>
      <c r="M3832" s="4"/>
      <c r="N3832" s="4"/>
      <c r="O3832" s="4"/>
      <c r="P3832" s="4"/>
      <c r="Q3832" s="4"/>
      <c r="R3832" s="4"/>
      <c r="S3832" s="4"/>
      <c r="T3832" s="4"/>
      <c r="U3832" s="4"/>
      <c r="V3832" s="4"/>
      <c r="W3832" s="4"/>
      <c r="X3832" s="4"/>
      <c r="Y3832" s="4"/>
      <c r="Z3832" s="4"/>
      <c r="AA3832" s="4"/>
      <c r="AB3832" s="5"/>
    </row>
    <row r="3833" spans="1:28" x14ac:dyDescent="0.35">
      <c r="A3833" s="3"/>
      <c r="B3833" s="4"/>
      <c r="C3833" s="4"/>
      <c r="D3833" s="4"/>
      <c r="E3833" s="4"/>
      <c r="F3833" s="4"/>
      <c r="G3833" s="4"/>
      <c r="H3833" s="4"/>
      <c r="I3833" s="4"/>
      <c r="J3833" s="4"/>
      <c r="K3833" s="4"/>
      <c r="L3833" s="4"/>
      <c r="M3833" s="4"/>
      <c r="N3833" s="4"/>
      <c r="O3833" s="4"/>
      <c r="P3833" s="4"/>
      <c r="Q3833" s="4"/>
      <c r="R3833" s="4"/>
      <c r="S3833" s="4"/>
      <c r="T3833" s="4"/>
      <c r="U3833" s="4"/>
      <c r="V3833" s="4"/>
      <c r="W3833" s="4"/>
      <c r="X3833" s="4"/>
      <c r="Y3833" s="4"/>
      <c r="Z3833" s="4"/>
      <c r="AA3833" s="4"/>
      <c r="AB3833" s="5"/>
    </row>
    <row r="3834" spans="1:28" x14ac:dyDescent="0.35">
      <c r="A3834" s="3"/>
      <c r="B3834" s="4"/>
      <c r="C3834" s="4"/>
      <c r="D3834" s="4"/>
      <c r="E3834" s="4"/>
      <c r="F3834" s="4"/>
      <c r="G3834" s="4"/>
      <c r="H3834" s="4"/>
      <c r="I3834" s="4"/>
      <c r="J3834" s="4"/>
      <c r="K3834" s="4"/>
      <c r="L3834" s="4"/>
      <c r="M3834" s="4"/>
      <c r="N3834" s="4"/>
      <c r="O3834" s="4"/>
      <c r="P3834" s="4"/>
      <c r="Q3834" s="4"/>
      <c r="R3834" s="4"/>
      <c r="S3834" s="4"/>
      <c r="T3834" s="4"/>
      <c r="U3834" s="4"/>
      <c r="V3834" s="4"/>
      <c r="W3834" s="4"/>
      <c r="X3834" s="4"/>
      <c r="Y3834" s="4"/>
      <c r="Z3834" s="4"/>
      <c r="AA3834" s="4"/>
      <c r="AB3834" s="5"/>
    </row>
    <row r="3835" spans="1:28" x14ac:dyDescent="0.35">
      <c r="A3835" s="3"/>
      <c r="B3835" s="4"/>
      <c r="C3835" s="4"/>
      <c r="D3835" s="4"/>
      <c r="E3835" s="4"/>
      <c r="F3835" s="4"/>
      <c r="G3835" s="4"/>
      <c r="H3835" s="4"/>
      <c r="I3835" s="4"/>
      <c r="J3835" s="4"/>
      <c r="K3835" s="4"/>
      <c r="L3835" s="4"/>
      <c r="M3835" s="4"/>
      <c r="N3835" s="4"/>
      <c r="O3835" s="4"/>
      <c r="P3835" s="4"/>
      <c r="Q3835" s="4"/>
      <c r="R3835" s="4"/>
      <c r="S3835" s="4"/>
      <c r="T3835" s="4"/>
      <c r="U3835" s="4"/>
      <c r="V3835" s="4"/>
      <c r="W3835" s="4"/>
      <c r="X3835" s="4"/>
      <c r="Y3835" s="4"/>
      <c r="Z3835" s="4"/>
      <c r="AA3835" s="4"/>
      <c r="AB3835" s="5"/>
    </row>
    <row r="3836" spans="1:28" x14ac:dyDescent="0.35">
      <c r="A3836" s="3"/>
      <c r="B3836" s="4"/>
      <c r="C3836" s="4"/>
      <c r="D3836" s="4"/>
      <c r="E3836" s="4"/>
      <c r="F3836" s="4"/>
      <c r="G3836" s="4"/>
      <c r="H3836" s="4"/>
      <c r="I3836" s="4"/>
      <c r="J3836" s="4"/>
      <c r="K3836" s="4"/>
      <c r="L3836" s="4"/>
      <c r="M3836" s="4"/>
      <c r="N3836" s="4"/>
      <c r="O3836" s="4"/>
      <c r="P3836" s="4"/>
      <c r="Q3836" s="4"/>
      <c r="R3836" s="4"/>
      <c r="S3836" s="4"/>
      <c r="T3836" s="4"/>
      <c r="U3836" s="4"/>
      <c r="V3836" s="4"/>
      <c r="W3836" s="4"/>
      <c r="X3836" s="4"/>
      <c r="Y3836" s="4"/>
      <c r="Z3836" s="4"/>
      <c r="AA3836" s="4"/>
      <c r="AB3836" s="5"/>
    </row>
    <row r="3837" spans="1:28" x14ac:dyDescent="0.35">
      <c r="A3837" s="3"/>
      <c r="B3837" s="4"/>
      <c r="C3837" s="4"/>
      <c r="D3837" s="4"/>
      <c r="E3837" s="4"/>
      <c r="F3837" s="4"/>
      <c r="G3837" s="4"/>
      <c r="H3837" s="4"/>
      <c r="I3837" s="4"/>
      <c r="J3837" s="4"/>
      <c r="K3837" s="4"/>
      <c r="L3837" s="4"/>
      <c r="M3837" s="4"/>
      <c r="N3837" s="4"/>
      <c r="O3837" s="4"/>
      <c r="P3837" s="4"/>
      <c r="Q3837" s="4"/>
      <c r="R3837" s="4"/>
      <c r="S3837" s="4"/>
      <c r="T3837" s="4"/>
      <c r="U3837" s="4"/>
      <c r="V3837" s="4"/>
      <c r="W3837" s="4"/>
      <c r="X3837" s="4"/>
      <c r="Y3837" s="4"/>
      <c r="Z3837" s="4"/>
      <c r="AA3837" s="4"/>
      <c r="AB3837" s="5"/>
    </row>
    <row r="3838" spans="1:28" x14ac:dyDescent="0.35">
      <c r="A3838" s="3"/>
      <c r="B3838" s="4"/>
      <c r="C3838" s="4"/>
      <c r="D3838" s="4"/>
      <c r="E3838" s="4"/>
      <c r="F3838" s="4"/>
      <c r="G3838" s="4"/>
      <c r="H3838" s="4"/>
      <c r="I3838" s="4"/>
      <c r="J3838" s="4"/>
      <c r="K3838" s="4"/>
      <c r="L3838" s="4"/>
      <c r="M3838" s="4"/>
      <c r="N3838" s="4"/>
      <c r="O3838" s="4"/>
      <c r="P3838" s="4"/>
      <c r="Q3838" s="4"/>
      <c r="R3838" s="4"/>
      <c r="S3838" s="4"/>
      <c r="T3838" s="4"/>
      <c r="U3838" s="4"/>
      <c r="V3838" s="4"/>
      <c r="W3838" s="4"/>
      <c r="X3838" s="4"/>
      <c r="Y3838" s="4"/>
      <c r="Z3838" s="4"/>
      <c r="AA3838" s="4"/>
      <c r="AB3838" s="5"/>
    </row>
    <row r="3839" spans="1:28" x14ac:dyDescent="0.35">
      <c r="A3839" s="3"/>
      <c r="B3839" s="4"/>
      <c r="C3839" s="4"/>
      <c r="D3839" s="4"/>
      <c r="E3839" s="4"/>
      <c r="F3839" s="4"/>
      <c r="G3839" s="4"/>
      <c r="H3839" s="4"/>
      <c r="I3839" s="4"/>
      <c r="J3839" s="4"/>
      <c r="K3839" s="4"/>
      <c r="L3839" s="4"/>
      <c r="M3839" s="4"/>
      <c r="N3839" s="4"/>
      <c r="O3839" s="4"/>
      <c r="P3839" s="4"/>
      <c r="Q3839" s="4"/>
      <c r="R3839" s="4"/>
      <c r="S3839" s="4"/>
      <c r="T3839" s="4"/>
      <c r="U3839" s="4"/>
      <c r="V3839" s="4"/>
      <c r="W3839" s="4"/>
      <c r="X3839" s="4"/>
      <c r="Y3839" s="4"/>
      <c r="Z3839" s="4"/>
      <c r="AA3839" s="4"/>
      <c r="AB3839" s="5"/>
    </row>
    <row r="3840" spans="1:28" x14ac:dyDescent="0.35">
      <c r="A3840" s="3"/>
      <c r="B3840" s="4"/>
      <c r="C3840" s="4"/>
      <c r="D3840" s="4"/>
      <c r="E3840" s="4"/>
      <c r="F3840" s="4"/>
      <c r="G3840" s="4"/>
      <c r="H3840" s="4"/>
      <c r="I3840" s="4"/>
      <c r="J3840" s="4"/>
      <c r="K3840" s="4"/>
      <c r="L3840" s="4"/>
      <c r="M3840" s="4"/>
      <c r="N3840" s="4"/>
      <c r="O3840" s="4"/>
      <c r="P3840" s="4"/>
      <c r="Q3840" s="4"/>
      <c r="R3840" s="4"/>
      <c r="S3840" s="4"/>
      <c r="T3840" s="4"/>
      <c r="U3840" s="4"/>
      <c r="V3840" s="4"/>
      <c r="W3840" s="4"/>
      <c r="X3840" s="4"/>
      <c r="Y3840" s="4"/>
      <c r="Z3840" s="4"/>
      <c r="AA3840" s="4"/>
      <c r="AB3840" s="5"/>
    </row>
    <row r="3841" spans="1:28" x14ac:dyDescent="0.35">
      <c r="A3841" s="3"/>
      <c r="B3841" s="4"/>
      <c r="C3841" s="4"/>
      <c r="D3841" s="4"/>
      <c r="E3841" s="4"/>
      <c r="F3841" s="4"/>
      <c r="G3841" s="4"/>
      <c r="H3841" s="4"/>
      <c r="I3841" s="4"/>
      <c r="J3841" s="4"/>
      <c r="K3841" s="4"/>
      <c r="L3841" s="4"/>
      <c r="M3841" s="4"/>
      <c r="N3841" s="4"/>
      <c r="O3841" s="4"/>
      <c r="P3841" s="4"/>
      <c r="Q3841" s="4"/>
      <c r="R3841" s="4"/>
      <c r="S3841" s="4"/>
      <c r="T3841" s="4"/>
      <c r="U3841" s="4"/>
      <c r="V3841" s="4"/>
      <c r="W3841" s="4"/>
      <c r="X3841" s="4"/>
      <c r="Y3841" s="4"/>
      <c r="Z3841" s="4"/>
      <c r="AA3841" s="4"/>
      <c r="AB3841" s="5"/>
    </row>
    <row r="3842" spans="1:28" x14ac:dyDescent="0.35">
      <c r="A3842" s="3"/>
      <c r="B3842" s="4"/>
      <c r="C3842" s="4"/>
      <c r="D3842" s="4"/>
      <c r="E3842" s="4"/>
      <c r="F3842" s="4"/>
      <c r="G3842" s="4"/>
      <c r="H3842" s="4"/>
      <c r="I3842" s="4"/>
      <c r="J3842" s="4"/>
      <c r="K3842" s="4"/>
      <c r="L3842" s="4"/>
      <c r="M3842" s="4"/>
      <c r="N3842" s="4"/>
      <c r="O3842" s="4"/>
      <c r="P3842" s="4"/>
      <c r="Q3842" s="4"/>
      <c r="R3842" s="4"/>
      <c r="S3842" s="4"/>
      <c r="T3842" s="4"/>
      <c r="U3842" s="4"/>
      <c r="V3842" s="4"/>
      <c r="W3842" s="4"/>
      <c r="X3842" s="4"/>
      <c r="Y3842" s="4"/>
      <c r="Z3842" s="4"/>
      <c r="AA3842" s="4"/>
      <c r="AB3842" s="5"/>
    </row>
    <row r="3843" spans="1:28" x14ac:dyDescent="0.35">
      <c r="A3843" s="3"/>
      <c r="B3843" s="4"/>
      <c r="C3843" s="4"/>
      <c r="D3843" s="4"/>
      <c r="E3843" s="4"/>
      <c r="F3843" s="4"/>
      <c r="G3843" s="4"/>
      <c r="H3843" s="4"/>
      <c r="I3843" s="4"/>
      <c r="J3843" s="4"/>
      <c r="K3843" s="4"/>
      <c r="L3843" s="4"/>
      <c r="M3843" s="4"/>
      <c r="N3843" s="4"/>
      <c r="O3843" s="4"/>
      <c r="P3843" s="4"/>
      <c r="Q3843" s="4"/>
      <c r="R3843" s="4"/>
      <c r="S3843" s="4"/>
      <c r="T3843" s="4"/>
      <c r="U3843" s="4"/>
      <c r="V3843" s="4"/>
      <c r="W3843" s="4"/>
      <c r="X3843" s="4"/>
      <c r="Y3843" s="4"/>
      <c r="Z3843" s="4"/>
      <c r="AA3843" s="4"/>
      <c r="AB3843" s="5"/>
    </row>
    <row r="3844" spans="1:28" x14ac:dyDescent="0.35">
      <c r="A3844" s="3"/>
      <c r="B3844" s="4"/>
      <c r="C3844" s="4"/>
      <c r="D3844" s="4"/>
      <c r="E3844" s="4"/>
      <c r="F3844" s="4"/>
      <c r="G3844" s="4"/>
      <c r="H3844" s="4"/>
      <c r="I3844" s="4"/>
      <c r="J3844" s="4"/>
      <c r="K3844" s="4"/>
      <c r="L3844" s="4"/>
      <c r="M3844" s="4"/>
      <c r="N3844" s="4"/>
      <c r="O3844" s="4"/>
      <c r="P3844" s="4"/>
      <c r="Q3844" s="4"/>
      <c r="R3844" s="4"/>
      <c r="S3844" s="4"/>
      <c r="T3844" s="4"/>
      <c r="U3844" s="4"/>
      <c r="V3844" s="4"/>
      <c r="W3844" s="4"/>
      <c r="X3844" s="4"/>
      <c r="Y3844" s="4"/>
      <c r="Z3844" s="4"/>
      <c r="AA3844" s="4"/>
      <c r="AB3844" s="5"/>
    </row>
    <row r="3845" spans="1:28" x14ac:dyDescent="0.35">
      <c r="A3845" s="3"/>
      <c r="B3845" s="4"/>
      <c r="C3845" s="4"/>
      <c r="D3845" s="4"/>
      <c r="E3845" s="4"/>
      <c r="F3845" s="4"/>
      <c r="G3845" s="4"/>
      <c r="H3845" s="4"/>
      <c r="I3845" s="4"/>
      <c r="J3845" s="4"/>
      <c r="K3845" s="4"/>
      <c r="L3845" s="4"/>
      <c r="M3845" s="4"/>
      <c r="N3845" s="4"/>
      <c r="O3845" s="4"/>
      <c r="P3845" s="4"/>
      <c r="Q3845" s="4"/>
      <c r="R3845" s="4"/>
      <c r="S3845" s="4"/>
      <c r="T3845" s="4"/>
      <c r="U3845" s="4"/>
      <c r="V3845" s="4"/>
      <c r="W3845" s="4"/>
      <c r="X3845" s="4"/>
      <c r="Y3845" s="4"/>
      <c r="Z3845" s="4"/>
      <c r="AA3845" s="4"/>
      <c r="AB3845" s="5"/>
    </row>
    <row r="3846" spans="1:28" x14ac:dyDescent="0.35">
      <c r="A3846" s="3"/>
      <c r="B3846" s="4"/>
      <c r="C3846" s="4"/>
      <c r="D3846" s="4"/>
      <c r="E3846" s="4"/>
      <c r="F3846" s="4"/>
      <c r="G3846" s="4"/>
      <c r="H3846" s="4"/>
      <c r="I3846" s="4"/>
      <c r="J3846" s="4"/>
      <c r="K3846" s="4"/>
      <c r="L3846" s="4"/>
      <c r="M3846" s="4"/>
      <c r="N3846" s="4"/>
      <c r="O3846" s="4"/>
      <c r="P3846" s="4"/>
      <c r="Q3846" s="4"/>
      <c r="R3846" s="4"/>
      <c r="S3846" s="4"/>
      <c r="T3846" s="4"/>
      <c r="U3846" s="4"/>
      <c r="V3846" s="4"/>
      <c r="W3846" s="4"/>
      <c r="X3846" s="4"/>
      <c r="Y3846" s="4"/>
      <c r="Z3846" s="4"/>
      <c r="AA3846" s="4"/>
      <c r="AB3846" s="5"/>
    </row>
    <row r="3847" spans="1:28" x14ac:dyDescent="0.35">
      <c r="A3847" s="3"/>
      <c r="B3847" s="4"/>
      <c r="C3847" s="4"/>
      <c r="D3847" s="4"/>
      <c r="E3847" s="4"/>
      <c r="F3847" s="4"/>
      <c r="G3847" s="4"/>
      <c r="H3847" s="4"/>
      <c r="I3847" s="4"/>
      <c r="J3847" s="4"/>
      <c r="K3847" s="4"/>
      <c r="L3847" s="4"/>
      <c r="M3847" s="4"/>
      <c r="N3847" s="4"/>
      <c r="O3847" s="4"/>
      <c r="P3847" s="4"/>
      <c r="Q3847" s="4"/>
      <c r="R3847" s="4"/>
      <c r="S3847" s="4"/>
      <c r="T3847" s="4"/>
      <c r="U3847" s="4"/>
      <c r="V3847" s="4"/>
      <c r="W3847" s="4"/>
      <c r="X3847" s="4"/>
      <c r="Y3847" s="4"/>
      <c r="Z3847" s="4"/>
      <c r="AA3847" s="4"/>
      <c r="AB3847" s="5"/>
    </row>
    <row r="3848" spans="1:28" x14ac:dyDescent="0.35">
      <c r="A3848" s="3"/>
      <c r="B3848" s="4"/>
      <c r="C3848" s="4"/>
      <c r="D3848" s="4"/>
      <c r="E3848" s="4"/>
      <c r="F3848" s="4"/>
      <c r="G3848" s="4"/>
      <c r="H3848" s="4"/>
      <c r="I3848" s="4"/>
      <c r="J3848" s="4"/>
      <c r="K3848" s="4"/>
      <c r="L3848" s="4"/>
      <c r="M3848" s="4"/>
      <c r="N3848" s="4"/>
      <c r="O3848" s="4"/>
      <c r="P3848" s="4"/>
      <c r="Q3848" s="4"/>
      <c r="R3848" s="4"/>
      <c r="S3848" s="4"/>
      <c r="T3848" s="4"/>
      <c r="U3848" s="4"/>
      <c r="V3848" s="4"/>
      <c r="W3848" s="4"/>
      <c r="X3848" s="4"/>
      <c r="Y3848" s="4"/>
      <c r="Z3848" s="4"/>
      <c r="AA3848" s="4"/>
      <c r="AB3848" s="5"/>
    </row>
    <row r="3849" spans="1:28" x14ac:dyDescent="0.35">
      <c r="A3849" s="3"/>
      <c r="B3849" s="4"/>
      <c r="C3849" s="4"/>
      <c r="D3849" s="4"/>
      <c r="E3849" s="4"/>
      <c r="F3849" s="4"/>
      <c r="G3849" s="4"/>
      <c r="H3849" s="4"/>
      <c r="I3849" s="4"/>
      <c r="J3849" s="4"/>
      <c r="K3849" s="4"/>
      <c r="L3849" s="4"/>
      <c r="M3849" s="4"/>
      <c r="N3849" s="4"/>
      <c r="O3849" s="4"/>
      <c r="P3849" s="4"/>
      <c r="Q3849" s="4"/>
      <c r="R3849" s="4"/>
      <c r="S3849" s="4"/>
      <c r="T3849" s="4"/>
      <c r="U3849" s="4"/>
      <c r="V3849" s="4"/>
      <c r="W3849" s="4"/>
      <c r="X3849" s="4"/>
      <c r="Y3849" s="4"/>
      <c r="Z3849" s="4"/>
      <c r="AA3849" s="4"/>
      <c r="AB3849" s="5"/>
    </row>
    <row r="3850" spans="1:28" x14ac:dyDescent="0.35">
      <c r="A3850" s="3"/>
      <c r="B3850" s="4"/>
      <c r="C3850" s="4"/>
      <c r="D3850" s="4"/>
      <c r="E3850" s="4"/>
      <c r="F3850" s="4"/>
      <c r="G3850" s="4"/>
      <c r="H3850" s="4"/>
      <c r="I3850" s="4"/>
      <c r="J3850" s="4"/>
      <c r="K3850" s="4"/>
      <c r="L3850" s="4"/>
      <c r="M3850" s="4"/>
      <c r="N3850" s="4"/>
      <c r="O3850" s="4"/>
      <c r="P3850" s="4"/>
      <c r="Q3850" s="4"/>
      <c r="R3850" s="4"/>
      <c r="S3850" s="4"/>
      <c r="T3850" s="4"/>
      <c r="U3850" s="4"/>
      <c r="V3850" s="4"/>
      <c r="W3850" s="4"/>
      <c r="X3850" s="4"/>
      <c r="Y3850" s="4"/>
      <c r="Z3850" s="4"/>
      <c r="AA3850" s="4"/>
      <c r="AB3850" s="5"/>
    </row>
    <row r="3851" spans="1:28" x14ac:dyDescent="0.35">
      <c r="A3851" s="3"/>
      <c r="B3851" s="4"/>
      <c r="C3851" s="4"/>
      <c r="D3851" s="4"/>
      <c r="E3851" s="4"/>
      <c r="F3851" s="4"/>
      <c r="G3851" s="4"/>
      <c r="H3851" s="4"/>
      <c r="I3851" s="4"/>
      <c r="J3851" s="4"/>
      <c r="K3851" s="4"/>
      <c r="L3851" s="4"/>
      <c r="M3851" s="4"/>
      <c r="N3851" s="4"/>
      <c r="O3851" s="4"/>
      <c r="P3851" s="4"/>
      <c r="Q3851" s="4"/>
      <c r="R3851" s="4"/>
      <c r="S3851" s="4"/>
      <c r="T3851" s="4"/>
      <c r="U3851" s="4"/>
      <c r="V3851" s="4"/>
      <c r="W3851" s="4"/>
      <c r="X3851" s="4"/>
      <c r="Y3851" s="4"/>
      <c r="Z3851" s="4"/>
      <c r="AA3851" s="4"/>
      <c r="AB3851" s="5"/>
    </row>
    <row r="3852" spans="1:28" x14ac:dyDescent="0.35">
      <c r="A3852" s="3"/>
      <c r="B3852" s="4"/>
      <c r="C3852" s="4"/>
      <c r="D3852" s="4"/>
      <c r="E3852" s="4"/>
      <c r="F3852" s="4"/>
      <c r="G3852" s="4"/>
      <c r="H3852" s="4"/>
      <c r="I3852" s="4"/>
      <c r="J3852" s="4"/>
      <c r="K3852" s="4"/>
      <c r="L3852" s="4"/>
      <c r="M3852" s="4"/>
      <c r="N3852" s="4"/>
      <c r="O3852" s="4"/>
      <c r="P3852" s="4"/>
      <c r="Q3852" s="4"/>
      <c r="R3852" s="4"/>
      <c r="S3852" s="4"/>
      <c r="T3852" s="4"/>
      <c r="U3852" s="4"/>
      <c r="V3852" s="4"/>
      <c r="W3852" s="4"/>
      <c r="X3852" s="4"/>
      <c r="Y3852" s="4"/>
      <c r="Z3852" s="4"/>
      <c r="AA3852" s="4"/>
      <c r="AB3852" s="5"/>
    </row>
    <row r="3853" spans="1:28" x14ac:dyDescent="0.35">
      <c r="A3853" s="3"/>
      <c r="B3853" s="4"/>
      <c r="C3853" s="4"/>
      <c r="D3853" s="4"/>
      <c r="E3853" s="4"/>
      <c r="F3853" s="4"/>
      <c r="G3853" s="4"/>
      <c r="H3853" s="4"/>
      <c r="I3853" s="4"/>
      <c r="J3853" s="4"/>
      <c r="K3853" s="4"/>
      <c r="L3853" s="4"/>
      <c r="M3853" s="4"/>
      <c r="N3853" s="4"/>
      <c r="O3853" s="4"/>
      <c r="P3853" s="4"/>
      <c r="Q3853" s="4"/>
      <c r="R3853" s="4"/>
      <c r="S3853" s="4"/>
      <c r="T3853" s="4"/>
      <c r="U3853" s="4"/>
      <c r="V3853" s="4"/>
      <c r="W3853" s="4"/>
      <c r="X3853" s="4"/>
      <c r="Y3853" s="4"/>
      <c r="Z3853" s="4"/>
      <c r="AA3853" s="4"/>
      <c r="AB3853" s="5"/>
    </row>
    <row r="3854" spans="1:28" x14ac:dyDescent="0.35">
      <c r="A3854" s="3"/>
      <c r="B3854" s="4"/>
      <c r="C3854" s="4"/>
      <c r="D3854" s="4"/>
      <c r="E3854" s="4"/>
      <c r="F3854" s="4"/>
      <c r="G3854" s="4"/>
      <c r="H3854" s="4"/>
      <c r="I3854" s="4"/>
      <c r="J3854" s="4"/>
      <c r="K3854" s="4"/>
      <c r="L3854" s="4"/>
      <c r="M3854" s="4"/>
      <c r="N3854" s="4"/>
      <c r="O3854" s="4"/>
      <c r="P3854" s="4"/>
      <c r="Q3854" s="4"/>
      <c r="R3854" s="4"/>
      <c r="S3854" s="4"/>
      <c r="T3854" s="4"/>
      <c r="U3854" s="4"/>
      <c r="V3854" s="4"/>
      <c r="W3854" s="4"/>
      <c r="X3854" s="4"/>
      <c r="Y3854" s="4"/>
      <c r="Z3854" s="4"/>
      <c r="AA3854" s="4"/>
      <c r="AB3854" s="5"/>
    </row>
    <row r="3855" spans="1:28" x14ac:dyDescent="0.35">
      <c r="A3855" s="3"/>
      <c r="B3855" s="4"/>
      <c r="C3855" s="4"/>
      <c r="D3855" s="4"/>
      <c r="E3855" s="4"/>
      <c r="F3855" s="4"/>
      <c r="G3855" s="4"/>
      <c r="H3855" s="4"/>
      <c r="I3855" s="4"/>
      <c r="J3855" s="4"/>
      <c r="K3855" s="4"/>
      <c r="L3855" s="4"/>
      <c r="M3855" s="4"/>
      <c r="N3855" s="4"/>
      <c r="O3855" s="4"/>
      <c r="P3855" s="4"/>
      <c r="Q3855" s="4"/>
      <c r="R3855" s="4"/>
      <c r="S3855" s="4"/>
      <c r="T3855" s="4"/>
      <c r="U3855" s="4"/>
      <c r="V3855" s="4"/>
      <c r="W3855" s="4"/>
      <c r="X3855" s="4"/>
      <c r="Y3855" s="4"/>
      <c r="Z3855" s="4"/>
      <c r="AA3855" s="4"/>
      <c r="AB3855" s="5"/>
    </row>
    <row r="3856" spans="1:28" x14ac:dyDescent="0.35">
      <c r="A3856" s="3"/>
      <c r="B3856" s="4"/>
      <c r="C3856" s="4"/>
      <c r="D3856" s="4"/>
      <c r="E3856" s="4"/>
      <c r="F3856" s="4"/>
      <c r="G3856" s="4"/>
      <c r="H3856" s="4"/>
      <c r="I3856" s="4"/>
      <c r="J3856" s="4"/>
      <c r="K3856" s="4"/>
      <c r="L3856" s="4"/>
      <c r="M3856" s="4"/>
      <c r="N3856" s="4"/>
      <c r="O3856" s="4"/>
      <c r="P3856" s="4"/>
      <c r="Q3856" s="4"/>
      <c r="R3856" s="4"/>
      <c r="S3856" s="4"/>
      <c r="T3856" s="4"/>
      <c r="U3856" s="4"/>
      <c r="V3856" s="4"/>
      <c r="W3856" s="4"/>
      <c r="X3856" s="4"/>
      <c r="Y3856" s="4"/>
      <c r="Z3856" s="4"/>
      <c r="AA3856" s="4"/>
      <c r="AB3856" s="5"/>
    </row>
    <row r="3857" spans="1:28" x14ac:dyDescent="0.35">
      <c r="A3857" s="3"/>
      <c r="B3857" s="4"/>
      <c r="C3857" s="4"/>
      <c r="D3857" s="4"/>
      <c r="E3857" s="4"/>
      <c r="F3857" s="4"/>
      <c r="G3857" s="4"/>
      <c r="H3857" s="4"/>
      <c r="I3857" s="4"/>
      <c r="J3857" s="4"/>
      <c r="K3857" s="4"/>
      <c r="L3857" s="4"/>
      <c r="M3857" s="4"/>
      <c r="N3857" s="4"/>
      <c r="O3857" s="4"/>
      <c r="P3857" s="4"/>
      <c r="Q3857" s="4"/>
      <c r="R3857" s="4"/>
      <c r="S3857" s="4"/>
      <c r="T3857" s="4"/>
      <c r="U3857" s="4"/>
      <c r="V3857" s="4"/>
      <c r="W3857" s="4"/>
      <c r="X3857" s="4"/>
      <c r="Y3857" s="4"/>
      <c r="Z3857" s="4"/>
      <c r="AA3857" s="4"/>
      <c r="AB3857" s="5"/>
    </row>
    <row r="3858" spans="1:28" x14ac:dyDescent="0.35">
      <c r="A3858" s="3"/>
      <c r="B3858" s="4"/>
      <c r="C3858" s="4"/>
      <c r="D3858" s="4"/>
      <c r="E3858" s="4"/>
      <c r="F3858" s="4"/>
      <c r="G3858" s="4"/>
      <c r="H3858" s="4"/>
      <c r="I3858" s="4"/>
      <c r="J3858" s="4"/>
      <c r="K3858" s="4"/>
      <c r="L3858" s="4"/>
      <c r="M3858" s="4"/>
      <c r="N3858" s="4"/>
      <c r="O3858" s="4"/>
      <c r="P3858" s="4"/>
      <c r="Q3858" s="4"/>
      <c r="R3858" s="4"/>
      <c r="S3858" s="4"/>
      <c r="T3858" s="4"/>
      <c r="U3858" s="4"/>
      <c r="V3858" s="4"/>
      <c r="W3858" s="4"/>
      <c r="X3858" s="4"/>
      <c r="Y3858" s="4"/>
      <c r="Z3858" s="4"/>
      <c r="AA3858" s="4"/>
      <c r="AB3858" s="5"/>
    </row>
    <row r="3859" spans="1:28" x14ac:dyDescent="0.35">
      <c r="A3859" s="3"/>
      <c r="B3859" s="4"/>
      <c r="C3859" s="4"/>
      <c r="D3859" s="4"/>
      <c r="E3859" s="4"/>
      <c r="F3859" s="4"/>
      <c r="G3859" s="4"/>
      <c r="H3859" s="4"/>
      <c r="I3859" s="4"/>
      <c r="J3859" s="4"/>
      <c r="K3859" s="4"/>
      <c r="L3859" s="4"/>
      <c r="M3859" s="4"/>
      <c r="N3859" s="4"/>
      <c r="O3859" s="4"/>
      <c r="P3859" s="4"/>
      <c r="Q3859" s="4"/>
      <c r="R3859" s="4"/>
      <c r="S3859" s="4"/>
      <c r="T3859" s="4"/>
      <c r="U3859" s="4"/>
      <c r="V3859" s="4"/>
      <c r="W3859" s="4"/>
      <c r="X3859" s="4"/>
      <c r="Y3859" s="4"/>
      <c r="Z3859" s="4"/>
      <c r="AA3859" s="4"/>
      <c r="AB3859" s="5"/>
    </row>
    <row r="3860" spans="1:28" x14ac:dyDescent="0.35">
      <c r="A3860" s="3"/>
      <c r="B3860" s="4"/>
      <c r="C3860" s="4"/>
      <c r="D3860" s="4"/>
      <c r="E3860" s="4"/>
      <c r="F3860" s="4"/>
      <c r="G3860" s="4"/>
      <c r="H3860" s="4"/>
      <c r="I3860" s="4"/>
      <c r="J3860" s="4"/>
      <c r="K3860" s="4"/>
      <c r="L3860" s="4"/>
      <c r="M3860" s="4"/>
      <c r="N3860" s="4"/>
      <c r="O3860" s="4"/>
      <c r="P3860" s="4"/>
      <c r="Q3860" s="4"/>
      <c r="R3860" s="4"/>
      <c r="S3860" s="4"/>
      <c r="T3860" s="4"/>
      <c r="U3860" s="4"/>
      <c r="V3860" s="4"/>
      <c r="W3860" s="4"/>
      <c r="X3860" s="4"/>
      <c r="Y3860" s="4"/>
      <c r="Z3860" s="4"/>
      <c r="AA3860" s="4"/>
      <c r="AB3860" s="5"/>
    </row>
    <row r="3861" spans="1:28" x14ac:dyDescent="0.35">
      <c r="A3861" s="3"/>
      <c r="B3861" s="4"/>
      <c r="C3861" s="4"/>
      <c r="D3861" s="4"/>
      <c r="E3861" s="4"/>
      <c r="F3861" s="4"/>
      <c r="G3861" s="4"/>
      <c r="H3861" s="4"/>
      <c r="I3861" s="4"/>
      <c r="J3861" s="4"/>
      <c r="K3861" s="4"/>
      <c r="L3861" s="4"/>
      <c r="M3861" s="4"/>
      <c r="N3861" s="4"/>
      <c r="O3861" s="4"/>
      <c r="P3861" s="4"/>
      <c r="Q3861" s="4"/>
      <c r="R3861" s="4"/>
      <c r="S3861" s="4"/>
      <c r="T3861" s="4"/>
      <c r="U3861" s="4"/>
      <c r="V3861" s="4"/>
      <c r="W3861" s="4"/>
      <c r="X3861" s="4"/>
      <c r="Y3861" s="4"/>
      <c r="Z3861" s="4"/>
      <c r="AA3861" s="4"/>
      <c r="AB3861" s="5"/>
    </row>
    <row r="3862" spans="1:28" x14ac:dyDescent="0.35">
      <c r="A3862" s="3"/>
      <c r="B3862" s="4"/>
      <c r="C3862" s="4"/>
      <c r="D3862" s="4"/>
      <c r="E3862" s="4"/>
      <c r="F3862" s="4"/>
      <c r="G3862" s="4"/>
      <c r="H3862" s="4"/>
      <c r="I3862" s="4"/>
      <c r="J3862" s="4"/>
      <c r="K3862" s="4"/>
      <c r="L3862" s="4"/>
      <c r="M3862" s="4"/>
      <c r="N3862" s="4"/>
      <c r="O3862" s="4"/>
      <c r="P3862" s="4"/>
      <c r="Q3862" s="4"/>
      <c r="R3862" s="4"/>
      <c r="S3862" s="4"/>
      <c r="T3862" s="4"/>
      <c r="U3862" s="4"/>
      <c r="V3862" s="4"/>
      <c r="W3862" s="4"/>
      <c r="X3862" s="4"/>
      <c r="Y3862" s="4"/>
      <c r="Z3862" s="4"/>
      <c r="AA3862" s="4"/>
      <c r="AB3862" s="5"/>
    </row>
    <row r="3863" spans="1:28" x14ac:dyDescent="0.35">
      <c r="A3863" s="3"/>
      <c r="B3863" s="4"/>
      <c r="C3863" s="4"/>
      <c r="D3863" s="4"/>
      <c r="E3863" s="4"/>
      <c r="F3863" s="4"/>
      <c r="G3863" s="4"/>
      <c r="H3863" s="4"/>
      <c r="I3863" s="4"/>
      <c r="J3863" s="4"/>
      <c r="K3863" s="4"/>
      <c r="L3863" s="4"/>
      <c r="M3863" s="4"/>
      <c r="N3863" s="4"/>
      <c r="O3863" s="4"/>
      <c r="P3863" s="4"/>
      <c r="Q3863" s="4"/>
      <c r="R3863" s="4"/>
      <c r="S3863" s="4"/>
      <c r="T3863" s="4"/>
      <c r="U3863" s="4"/>
      <c r="V3863" s="4"/>
      <c r="W3863" s="4"/>
      <c r="X3863" s="4"/>
      <c r="Y3863" s="4"/>
      <c r="Z3863" s="4"/>
      <c r="AA3863" s="4"/>
      <c r="AB3863" s="5"/>
    </row>
    <row r="3864" spans="1:28" x14ac:dyDescent="0.35">
      <c r="A3864" s="3"/>
      <c r="B3864" s="4"/>
      <c r="C3864" s="4"/>
      <c r="D3864" s="4"/>
      <c r="E3864" s="4"/>
      <c r="F3864" s="4"/>
      <c r="G3864" s="4"/>
      <c r="H3864" s="4"/>
      <c r="I3864" s="4"/>
      <c r="J3864" s="4"/>
      <c r="K3864" s="4"/>
      <c r="L3864" s="4"/>
      <c r="M3864" s="4"/>
      <c r="N3864" s="4"/>
      <c r="O3864" s="4"/>
      <c r="P3864" s="4"/>
      <c r="Q3864" s="4"/>
      <c r="R3864" s="4"/>
      <c r="S3864" s="4"/>
      <c r="T3864" s="4"/>
      <c r="U3864" s="4"/>
      <c r="V3864" s="4"/>
      <c r="W3864" s="4"/>
      <c r="X3864" s="4"/>
      <c r="Y3864" s="4"/>
      <c r="Z3864" s="4"/>
      <c r="AA3864" s="4"/>
      <c r="AB3864" s="5"/>
    </row>
    <row r="3865" spans="1:28" x14ac:dyDescent="0.35">
      <c r="A3865" s="3"/>
      <c r="B3865" s="4"/>
      <c r="C3865" s="4"/>
      <c r="D3865" s="4"/>
      <c r="E3865" s="4"/>
      <c r="F3865" s="4"/>
      <c r="G3865" s="4"/>
      <c r="H3865" s="4"/>
      <c r="I3865" s="4"/>
      <c r="J3865" s="4"/>
      <c r="K3865" s="4"/>
      <c r="L3865" s="4"/>
      <c r="M3865" s="4"/>
      <c r="N3865" s="4"/>
      <c r="O3865" s="4"/>
      <c r="P3865" s="4"/>
      <c r="Q3865" s="4"/>
      <c r="R3865" s="4"/>
      <c r="S3865" s="4"/>
      <c r="T3865" s="4"/>
      <c r="U3865" s="4"/>
      <c r="V3865" s="4"/>
      <c r="W3865" s="4"/>
      <c r="X3865" s="4"/>
      <c r="Y3865" s="4"/>
      <c r="Z3865" s="4"/>
      <c r="AA3865" s="4"/>
      <c r="AB3865" s="5"/>
    </row>
    <row r="3866" spans="1:28" x14ac:dyDescent="0.35">
      <c r="A3866" s="3"/>
      <c r="B3866" s="4"/>
      <c r="C3866" s="4"/>
      <c r="D3866" s="4"/>
      <c r="E3866" s="4"/>
      <c r="F3866" s="4"/>
      <c r="G3866" s="4"/>
      <c r="H3866" s="4"/>
      <c r="I3866" s="4"/>
      <c r="J3866" s="4"/>
      <c r="K3866" s="4"/>
      <c r="L3866" s="4"/>
      <c r="M3866" s="4"/>
      <c r="N3866" s="4"/>
      <c r="O3866" s="4"/>
      <c r="P3866" s="4"/>
      <c r="Q3866" s="4"/>
      <c r="R3866" s="4"/>
      <c r="S3866" s="4"/>
      <c r="T3866" s="4"/>
      <c r="U3866" s="4"/>
      <c r="V3866" s="4"/>
      <c r="W3866" s="4"/>
      <c r="X3866" s="4"/>
      <c r="Y3866" s="4"/>
      <c r="Z3866" s="4"/>
      <c r="AA3866" s="4"/>
      <c r="AB3866" s="5"/>
    </row>
    <row r="3867" spans="1:28" x14ac:dyDescent="0.35">
      <c r="A3867" s="3"/>
      <c r="B3867" s="4"/>
      <c r="C3867" s="4"/>
      <c r="D3867" s="4"/>
      <c r="E3867" s="4"/>
      <c r="F3867" s="4"/>
      <c r="G3867" s="4"/>
      <c r="H3867" s="4"/>
      <c r="I3867" s="4"/>
      <c r="J3867" s="4"/>
      <c r="K3867" s="4"/>
      <c r="L3867" s="4"/>
      <c r="M3867" s="4"/>
      <c r="N3867" s="4"/>
      <c r="O3867" s="4"/>
      <c r="P3867" s="4"/>
      <c r="Q3867" s="4"/>
      <c r="R3867" s="4"/>
      <c r="S3867" s="4"/>
      <c r="T3867" s="4"/>
      <c r="U3867" s="4"/>
      <c r="V3867" s="4"/>
      <c r="W3867" s="4"/>
      <c r="X3867" s="4"/>
      <c r="Y3867" s="4"/>
      <c r="Z3867" s="4"/>
      <c r="AA3867" s="4"/>
      <c r="AB3867" s="5"/>
    </row>
    <row r="3868" spans="1:28" x14ac:dyDescent="0.35">
      <c r="A3868" s="3"/>
      <c r="B3868" s="4"/>
      <c r="C3868" s="4"/>
      <c r="D3868" s="4"/>
      <c r="E3868" s="4"/>
      <c r="F3868" s="4"/>
      <c r="G3868" s="4"/>
      <c r="H3868" s="4"/>
      <c r="I3868" s="4"/>
      <c r="J3868" s="4"/>
      <c r="K3868" s="4"/>
      <c r="L3868" s="4"/>
      <c r="M3868" s="4"/>
      <c r="N3868" s="4"/>
      <c r="O3868" s="4"/>
      <c r="P3868" s="4"/>
      <c r="Q3868" s="4"/>
      <c r="R3868" s="4"/>
      <c r="S3868" s="4"/>
      <c r="T3868" s="4"/>
      <c r="U3868" s="4"/>
      <c r="V3868" s="4"/>
      <c r="W3868" s="4"/>
      <c r="X3868" s="4"/>
      <c r="Y3868" s="4"/>
      <c r="Z3868" s="4"/>
      <c r="AA3868" s="4"/>
      <c r="AB3868" s="5"/>
    </row>
    <row r="3869" spans="1:28" x14ac:dyDescent="0.35">
      <c r="A3869" s="3"/>
      <c r="B3869" s="4"/>
      <c r="C3869" s="4"/>
      <c r="D3869" s="4"/>
      <c r="E3869" s="4"/>
      <c r="F3869" s="4"/>
      <c r="G3869" s="4"/>
      <c r="H3869" s="4"/>
      <c r="I3869" s="4"/>
      <c r="J3869" s="4"/>
      <c r="K3869" s="4"/>
      <c r="L3869" s="4"/>
      <c r="M3869" s="4"/>
      <c r="N3869" s="4"/>
      <c r="O3869" s="4"/>
      <c r="P3869" s="4"/>
      <c r="Q3869" s="4"/>
      <c r="R3869" s="4"/>
      <c r="S3869" s="4"/>
      <c r="T3869" s="4"/>
      <c r="U3869" s="4"/>
      <c r="V3869" s="4"/>
      <c r="W3869" s="4"/>
      <c r="X3869" s="4"/>
      <c r="Y3869" s="4"/>
      <c r="Z3869" s="4"/>
      <c r="AA3869" s="4"/>
      <c r="AB3869" s="5"/>
    </row>
    <row r="3870" spans="1:28" x14ac:dyDescent="0.35">
      <c r="A3870" s="3"/>
      <c r="B3870" s="4"/>
      <c r="C3870" s="4"/>
      <c r="D3870" s="4"/>
      <c r="E3870" s="4"/>
      <c r="F3870" s="4"/>
      <c r="G3870" s="4"/>
      <c r="H3870" s="4"/>
      <c r="I3870" s="4"/>
      <c r="J3870" s="4"/>
      <c r="K3870" s="4"/>
      <c r="L3870" s="4"/>
      <c r="M3870" s="4"/>
      <c r="N3870" s="4"/>
      <c r="O3870" s="4"/>
      <c r="P3870" s="4"/>
      <c r="Q3870" s="4"/>
      <c r="R3870" s="4"/>
      <c r="S3870" s="4"/>
      <c r="T3870" s="4"/>
      <c r="U3870" s="4"/>
      <c r="V3870" s="4"/>
      <c r="W3870" s="4"/>
      <c r="X3870" s="4"/>
      <c r="Y3870" s="4"/>
      <c r="Z3870" s="4"/>
      <c r="AA3870" s="4"/>
      <c r="AB3870" s="5"/>
    </row>
    <row r="3871" spans="1:28" x14ac:dyDescent="0.35">
      <c r="A3871" s="3"/>
      <c r="B3871" s="4"/>
      <c r="C3871" s="4"/>
      <c r="D3871" s="4"/>
      <c r="E3871" s="4"/>
      <c r="F3871" s="4"/>
      <c r="G3871" s="4"/>
      <c r="H3871" s="4"/>
      <c r="I3871" s="4"/>
      <c r="J3871" s="4"/>
      <c r="K3871" s="4"/>
      <c r="L3871" s="4"/>
      <c r="M3871" s="4"/>
      <c r="N3871" s="4"/>
      <c r="O3871" s="4"/>
      <c r="P3871" s="4"/>
      <c r="Q3871" s="4"/>
      <c r="R3871" s="4"/>
      <c r="S3871" s="4"/>
      <c r="T3871" s="4"/>
      <c r="U3871" s="4"/>
      <c r="V3871" s="4"/>
      <c r="W3871" s="4"/>
      <c r="X3871" s="4"/>
      <c r="Y3871" s="4"/>
      <c r="Z3871" s="4"/>
      <c r="AA3871" s="4"/>
      <c r="AB3871" s="5"/>
    </row>
    <row r="3872" spans="1:28" x14ac:dyDescent="0.35">
      <c r="A3872" s="3"/>
      <c r="B3872" s="4"/>
      <c r="C3872" s="4"/>
      <c r="D3872" s="4"/>
      <c r="E3872" s="4"/>
      <c r="F3872" s="4"/>
      <c r="G3872" s="4"/>
      <c r="H3872" s="4"/>
      <c r="I3872" s="4"/>
      <c r="J3872" s="4"/>
      <c r="K3872" s="4"/>
      <c r="L3872" s="4"/>
      <c r="M3872" s="4"/>
      <c r="N3872" s="4"/>
      <c r="O3872" s="4"/>
      <c r="P3872" s="4"/>
      <c r="Q3872" s="4"/>
      <c r="R3872" s="4"/>
      <c r="S3872" s="4"/>
      <c r="T3872" s="4"/>
      <c r="U3872" s="4"/>
      <c r="V3872" s="4"/>
      <c r="W3872" s="4"/>
      <c r="X3872" s="4"/>
      <c r="Y3872" s="4"/>
      <c r="Z3872" s="4"/>
      <c r="AA3872" s="4"/>
      <c r="AB3872" s="5"/>
    </row>
    <row r="3873" spans="1:28" x14ac:dyDescent="0.35">
      <c r="A3873" s="3"/>
      <c r="B3873" s="4"/>
      <c r="C3873" s="4"/>
      <c r="D3873" s="4"/>
      <c r="E3873" s="4"/>
      <c r="F3873" s="4"/>
      <c r="G3873" s="4"/>
      <c r="H3873" s="4"/>
      <c r="I3873" s="4"/>
      <c r="J3873" s="4"/>
      <c r="K3873" s="4"/>
      <c r="L3873" s="4"/>
      <c r="M3873" s="4"/>
      <c r="N3873" s="4"/>
      <c r="O3873" s="4"/>
      <c r="P3873" s="4"/>
      <c r="Q3873" s="4"/>
      <c r="R3873" s="4"/>
      <c r="S3873" s="4"/>
      <c r="T3873" s="4"/>
      <c r="U3873" s="4"/>
      <c r="V3873" s="4"/>
      <c r="W3873" s="4"/>
      <c r="X3873" s="4"/>
      <c r="Y3873" s="4"/>
      <c r="Z3873" s="4"/>
      <c r="AA3873" s="4"/>
      <c r="AB3873" s="5"/>
    </row>
    <row r="3874" spans="1:28" x14ac:dyDescent="0.35">
      <c r="A3874" s="3"/>
      <c r="B3874" s="4"/>
      <c r="C3874" s="4"/>
      <c r="D3874" s="4"/>
      <c r="E3874" s="4"/>
      <c r="F3874" s="4"/>
      <c r="G3874" s="4"/>
      <c r="H3874" s="4"/>
      <c r="I3874" s="4"/>
      <c r="J3874" s="4"/>
      <c r="K3874" s="4"/>
      <c r="L3874" s="4"/>
      <c r="M3874" s="4"/>
      <c r="N3874" s="4"/>
      <c r="O3874" s="4"/>
      <c r="P3874" s="4"/>
      <c r="Q3874" s="4"/>
      <c r="R3874" s="4"/>
      <c r="S3874" s="4"/>
      <c r="T3874" s="4"/>
      <c r="U3874" s="4"/>
      <c r="V3874" s="4"/>
      <c r="W3874" s="4"/>
      <c r="X3874" s="4"/>
      <c r="Y3874" s="4"/>
      <c r="Z3874" s="4"/>
      <c r="AA3874" s="4"/>
      <c r="AB3874" s="5"/>
    </row>
    <row r="3875" spans="1:28" x14ac:dyDescent="0.35">
      <c r="A3875" s="3"/>
      <c r="B3875" s="4"/>
      <c r="C3875" s="4"/>
      <c r="D3875" s="4"/>
      <c r="E3875" s="4"/>
      <c r="F3875" s="4"/>
      <c r="G3875" s="4"/>
      <c r="H3875" s="4"/>
      <c r="I3875" s="4"/>
      <c r="J3875" s="4"/>
      <c r="K3875" s="4"/>
      <c r="L3875" s="4"/>
      <c r="M3875" s="4"/>
      <c r="N3875" s="4"/>
      <c r="O3875" s="4"/>
      <c r="P3875" s="4"/>
      <c r="Q3875" s="4"/>
      <c r="R3875" s="4"/>
      <c r="S3875" s="4"/>
      <c r="T3875" s="4"/>
      <c r="U3875" s="4"/>
      <c r="V3875" s="4"/>
      <c r="W3875" s="4"/>
      <c r="X3875" s="4"/>
      <c r="Y3875" s="4"/>
      <c r="Z3875" s="4"/>
      <c r="AA3875" s="4"/>
      <c r="AB3875" s="5"/>
    </row>
    <row r="3876" spans="1:28" x14ac:dyDescent="0.35">
      <c r="A3876" s="3"/>
      <c r="B3876" s="4"/>
      <c r="C3876" s="4"/>
      <c r="D3876" s="4"/>
      <c r="E3876" s="4"/>
      <c r="F3876" s="4"/>
      <c r="G3876" s="4"/>
      <c r="H3876" s="4"/>
      <c r="I3876" s="4"/>
      <c r="J3876" s="4"/>
      <c r="K3876" s="4"/>
      <c r="L3876" s="4"/>
      <c r="M3876" s="4"/>
      <c r="N3876" s="4"/>
      <c r="O3876" s="4"/>
      <c r="P3876" s="4"/>
      <c r="Q3876" s="4"/>
      <c r="R3876" s="4"/>
      <c r="S3876" s="4"/>
      <c r="T3876" s="4"/>
      <c r="U3876" s="4"/>
      <c r="V3876" s="4"/>
      <c r="W3876" s="4"/>
      <c r="X3876" s="4"/>
      <c r="Y3876" s="4"/>
      <c r="Z3876" s="4"/>
      <c r="AA3876" s="4"/>
      <c r="AB3876" s="5"/>
    </row>
    <row r="3877" spans="1:28" x14ac:dyDescent="0.35">
      <c r="A3877" s="3"/>
      <c r="B3877" s="4"/>
      <c r="C3877" s="4"/>
      <c r="D3877" s="4"/>
      <c r="E3877" s="4"/>
      <c r="F3877" s="4"/>
      <c r="G3877" s="4"/>
      <c r="H3877" s="4"/>
      <c r="I3877" s="4"/>
      <c r="J3877" s="4"/>
      <c r="K3877" s="4"/>
      <c r="L3877" s="4"/>
      <c r="M3877" s="4"/>
      <c r="N3877" s="4"/>
      <c r="O3877" s="4"/>
      <c r="P3877" s="4"/>
      <c r="Q3877" s="4"/>
      <c r="R3877" s="4"/>
      <c r="S3877" s="4"/>
      <c r="T3877" s="4"/>
      <c r="U3877" s="4"/>
      <c r="V3877" s="4"/>
      <c r="W3877" s="4"/>
      <c r="X3877" s="4"/>
      <c r="Y3877" s="4"/>
      <c r="Z3877" s="4"/>
      <c r="AA3877" s="4"/>
      <c r="AB3877" s="5"/>
    </row>
    <row r="3878" spans="1:28" x14ac:dyDescent="0.35">
      <c r="A3878" s="3"/>
      <c r="B3878" s="4"/>
      <c r="C3878" s="4"/>
      <c r="D3878" s="4"/>
      <c r="E3878" s="4"/>
      <c r="F3878" s="4"/>
      <c r="G3878" s="4"/>
      <c r="H3878" s="4"/>
      <c r="I3878" s="4"/>
      <c r="J3878" s="4"/>
      <c r="K3878" s="4"/>
      <c r="L3878" s="4"/>
      <c r="M3878" s="4"/>
      <c r="N3878" s="4"/>
      <c r="O3878" s="4"/>
      <c r="P3878" s="4"/>
      <c r="Q3878" s="4"/>
      <c r="R3878" s="4"/>
      <c r="S3878" s="4"/>
      <c r="T3878" s="4"/>
      <c r="U3878" s="4"/>
      <c r="V3878" s="4"/>
      <c r="W3878" s="4"/>
      <c r="X3878" s="4"/>
      <c r="Y3878" s="4"/>
      <c r="Z3878" s="4"/>
      <c r="AA3878" s="4"/>
      <c r="AB3878" s="5"/>
    </row>
    <row r="3879" spans="1:28" x14ac:dyDescent="0.35">
      <c r="A3879" s="3"/>
      <c r="B3879" s="4"/>
      <c r="C3879" s="4"/>
      <c r="D3879" s="4"/>
      <c r="E3879" s="4"/>
      <c r="F3879" s="4"/>
      <c r="G3879" s="4"/>
      <c r="H3879" s="4"/>
      <c r="I3879" s="4"/>
      <c r="J3879" s="4"/>
      <c r="K3879" s="4"/>
      <c r="L3879" s="4"/>
      <c r="M3879" s="4"/>
      <c r="N3879" s="4"/>
      <c r="O3879" s="4"/>
      <c r="P3879" s="4"/>
      <c r="Q3879" s="4"/>
      <c r="R3879" s="4"/>
      <c r="S3879" s="4"/>
      <c r="T3879" s="4"/>
      <c r="U3879" s="4"/>
      <c r="V3879" s="4"/>
      <c r="W3879" s="4"/>
      <c r="X3879" s="4"/>
      <c r="Y3879" s="4"/>
      <c r="Z3879" s="4"/>
      <c r="AA3879" s="4"/>
      <c r="AB3879" s="5"/>
    </row>
    <row r="3880" spans="1:28" x14ac:dyDescent="0.35">
      <c r="A3880" s="3"/>
      <c r="B3880" s="4"/>
      <c r="C3880" s="4"/>
      <c r="D3880" s="4"/>
      <c r="E3880" s="4"/>
      <c r="F3880" s="4"/>
      <c r="G3880" s="4"/>
      <c r="H3880" s="4"/>
      <c r="I3880" s="4"/>
      <c r="J3880" s="4"/>
      <c r="K3880" s="4"/>
      <c r="L3880" s="4"/>
      <c r="M3880" s="4"/>
      <c r="N3880" s="4"/>
      <c r="O3880" s="4"/>
      <c r="P3880" s="4"/>
      <c r="Q3880" s="4"/>
      <c r="R3880" s="4"/>
      <c r="S3880" s="4"/>
      <c r="T3880" s="4"/>
      <c r="U3880" s="4"/>
      <c r="V3880" s="4"/>
      <c r="W3880" s="4"/>
      <c r="X3880" s="4"/>
      <c r="Y3880" s="4"/>
      <c r="Z3880" s="4"/>
      <c r="AA3880" s="4"/>
      <c r="AB3880" s="5"/>
    </row>
    <row r="3881" spans="1:28" x14ac:dyDescent="0.35">
      <c r="A3881" s="3"/>
      <c r="B3881" s="4"/>
      <c r="C3881" s="4"/>
      <c r="D3881" s="4"/>
      <c r="E3881" s="4"/>
      <c r="F3881" s="4"/>
      <c r="G3881" s="4"/>
      <c r="H3881" s="4"/>
      <c r="I3881" s="4"/>
      <c r="J3881" s="4"/>
      <c r="K3881" s="4"/>
      <c r="L3881" s="4"/>
      <c r="M3881" s="4"/>
      <c r="N3881" s="4"/>
      <c r="O3881" s="4"/>
      <c r="P3881" s="4"/>
      <c r="Q3881" s="4"/>
      <c r="R3881" s="4"/>
      <c r="S3881" s="4"/>
      <c r="T3881" s="4"/>
      <c r="U3881" s="4"/>
      <c r="V3881" s="4"/>
      <c r="W3881" s="4"/>
      <c r="X3881" s="4"/>
      <c r="Y3881" s="4"/>
      <c r="Z3881" s="4"/>
      <c r="AA3881" s="4"/>
      <c r="AB3881" s="5"/>
    </row>
    <row r="3882" spans="1:28" x14ac:dyDescent="0.35">
      <c r="A3882" s="3"/>
      <c r="B3882" s="4"/>
      <c r="C3882" s="4"/>
      <c r="D3882" s="4"/>
      <c r="E3882" s="4"/>
      <c r="F3882" s="4"/>
      <c r="G3882" s="4"/>
      <c r="H3882" s="4"/>
      <c r="I3882" s="4"/>
      <c r="J3882" s="4"/>
      <c r="K3882" s="4"/>
      <c r="L3882" s="4"/>
      <c r="M3882" s="4"/>
      <c r="N3882" s="4"/>
      <c r="O3882" s="4"/>
      <c r="P3882" s="4"/>
      <c r="Q3882" s="4"/>
      <c r="R3882" s="4"/>
      <c r="S3882" s="4"/>
      <c r="T3882" s="4"/>
      <c r="U3882" s="4"/>
      <c r="V3882" s="4"/>
      <c r="W3882" s="4"/>
      <c r="X3882" s="4"/>
      <c r="Y3882" s="4"/>
      <c r="Z3882" s="4"/>
      <c r="AA3882" s="4"/>
      <c r="AB3882" s="5"/>
    </row>
    <row r="3883" spans="1:28" x14ac:dyDescent="0.35">
      <c r="A3883" s="3"/>
      <c r="B3883" s="4"/>
      <c r="C3883" s="4"/>
      <c r="D3883" s="4"/>
      <c r="E3883" s="4"/>
      <c r="F3883" s="4"/>
      <c r="G3883" s="4"/>
      <c r="H3883" s="4"/>
      <c r="I3883" s="4"/>
      <c r="J3883" s="4"/>
      <c r="K3883" s="4"/>
      <c r="L3883" s="4"/>
      <c r="M3883" s="4"/>
      <c r="N3883" s="4"/>
      <c r="O3883" s="4"/>
      <c r="P3883" s="4"/>
      <c r="Q3883" s="4"/>
      <c r="R3883" s="4"/>
      <c r="S3883" s="4"/>
      <c r="T3883" s="4"/>
      <c r="U3883" s="4"/>
      <c r="V3883" s="4"/>
      <c r="W3883" s="4"/>
      <c r="X3883" s="4"/>
      <c r="Y3883" s="4"/>
      <c r="Z3883" s="4"/>
      <c r="AA3883" s="4"/>
      <c r="AB3883" s="5"/>
    </row>
    <row r="3884" spans="1:28" x14ac:dyDescent="0.35">
      <c r="A3884" s="3"/>
      <c r="B3884" s="4"/>
      <c r="C3884" s="4"/>
      <c r="D3884" s="4"/>
      <c r="E3884" s="4"/>
      <c r="F3884" s="4"/>
      <c r="G3884" s="4"/>
      <c r="H3884" s="4"/>
      <c r="I3884" s="4"/>
      <c r="J3884" s="4"/>
      <c r="K3884" s="4"/>
      <c r="L3884" s="4"/>
      <c r="M3884" s="4"/>
      <c r="N3884" s="4"/>
      <c r="O3884" s="4"/>
      <c r="P3884" s="4"/>
      <c r="Q3884" s="4"/>
      <c r="R3884" s="4"/>
      <c r="S3884" s="4"/>
      <c r="T3884" s="4"/>
      <c r="U3884" s="4"/>
      <c r="V3884" s="4"/>
      <c r="W3884" s="4"/>
      <c r="X3884" s="4"/>
      <c r="Y3884" s="4"/>
      <c r="Z3884" s="4"/>
      <c r="AA3884" s="4"/>
      <c r="AB3884" s="5"/>
    </row>
    <row r="3885" spans="1:28" x14ac:dyDescent="0.35">
      <c r="A3885" s="3"/>
      <c r="B3885" s="4"/>
      <c r="C3885" s="4"/>
      <c r="D3885" s="4"/>
      <c r="E3885" s="4"/>
      <c r="F3885" s="4"/>
      <c r="G3885" s="4"/>
      <c r="H3885" s="4"/>
      <c r="I3885" s="4"/>
      <c r="J3885" s="4"/>
      <c r="K3885" s="4"/>
      <c r="L3885" s="4"/>
      <c r="M3885" s="4"/>
      <c r="N3885" s="4"/>
      <c r="O3885" s="4"/>
      <c r="P3885" s="4"/>
      <c r="Q3885" s="4"/>
      <c r="R3885" s="4"/>
      <c r="S3885" s="4"/>
      <c r="T3885" s="4"/>
      <c r="U3885" s="4"/>
      <c r="V3885" s="4"/>
      <c r="W3885" s="4"/>
      <c r="X3885" s="4"/>
      <c r="Y3885" s="4"/>
      <c r="Z3885" s="4"/>
      <c r="AA3885" s="4"/>
      <c r="AB3885" s="5"/>
    </row>
    <row r="3886" spans="1:28" x14ac:dyDescent="0.35">
      <c r="A3886" s="3"/>
      <c r="B3886" s="4"/>
      <c r="C3886" s="4"/>
      <c r="D3886" s="4"/>
      <c r="E3886" s="4"/>
      <c r="F3886" s="4"/>
      <c r="G3886" s="4"/>
      <c r="H3886" s="4"/>
      <c r="I3886" s="4"/>
      <c r="J3886" s="4"/>
      <c r="K3886" s="4"/>
      <c r="L3886" s="4"/>
      <c r="M3886" s="4"/>
      <c r="N3886" s="4"/>
      <c r="O3886" s="4"/>
      <c r="P3886" s="4"/>
      <c r="Q3886" s="4"/>
      <c r="R3886" s="4"/>
      <c r="S3886" s="4"/>
      <c r="T3886" s="4"/>
      <c r="U3886" s="4"/>
      <c r="V3886" s="4"/>
      <c r="W3886" s="4"/>
      <c r="X3886" s="4"/>
      <c r="Y3886" s="4"/>
      <c r="Z3886" s="4"/>
      <c r="AA3886" s="4"/>
      <c r="AB3886" s="5"/>
    </row>
    <row r="3887" spans="1:28" x14ac:dyDescent="0.35">
      <c r="A3887" s="3"/>
      <c r="B3887" s="4"/>
      <c r="C3887" s="4"/>
      <c r="D3887" s="4"/>
      <c r="E3887" s="4"/>
      <c r="F3887" s="4"/>
      <c r="G3887" s="4"/>
      <c r="H3887" s="4"/>
      <c r="I3887" s="4"/>
      <c r="J3887" s="4"/>
      <c r="K3887" s="4"/>
      <c r="L3887" s="4"/>
      <c r="M3887" s="4"/>
      <c r="N3887" s="4"/>
      <c r="O3887" s="4"/>
      <c r="P3887" s="4"/>
      <c r="Q3887" s="4"/>
      <c r="R3887" s="4"/>
      <c r="S3887" s="4"/>
      <c r="T3887" s="4"/>
      <c r="U3887" s="4"/>
      <c r="V3887" s="4"/>
      <c r="W3887" s="4"/>
      <c r="X3887" s="4"/>
      <c r="Y3887" s="4"/>
      <c r="Z3887" s="4"/>
      <c r="AA3887" s="4"/>
      <c r="AB3887" s="5"/>
    </row>
    <row r="3888" spans="1:28" x14ac:dyDescent="0.35">
      <c r="A3888" s="3"/>
      <c r="B3888" s="4"/>
      <c r="C3888" s="4"/>
      <c r="D3888" s="4"/>
      <c r="E3888" s="4"/>
      <c r="F3888" s="4"/>
      <c r="G3888" s="4"/>
      <c r="H3888" s="4"/>
      <c r="I3888" s="4"/>
      <c r="J3888" s="4"/>
      <c r="K3888" s="4"/>
      <c r="L3888" s="4"/>
      <c r="M3888" s="4"/>
      <c r="N3888" s="4"/>
      <c r="O3888" s="4"/>
      <c r="P3888" s="4"/>
      <c r="Q3888" s="4"/>
      <c r="R3888" s="4"/>
      <c r="S3888" s="4"/>
      <c r="T3888" s="4"/>
      <c r="U3888" s="4"/>
      <c r="V3888" s="4"/>
      <c r="W3888" s="4"/>
      <c r="X3888" s="4"/>
      <c r="Y3888" s="4"/>
      <c r="Z3888" s="4"/>
      <c r="AA3888" s="4"/>
      <c r="AB3888" s="5"/>
    </row>
    <row r="3889" spans="1:28" x14ac:dyDescent="0.35">
      <c r="A3889" s="3"/>
      <c r="B3889" s="4"/>
      <c r="C3889" s="4"/>
      <c r="D3889" s="4"/>
      <c r="E3889" s="4"/>
      <c r="F3889" s="4"/>
      <c r="G3889" s="4"/>
      <c r="H3889" s="4"/>
      <c r="I3889" s="4"/>
      <c r="J3889" s="4"/>
      <c r="K3889" s="4"/>
      <c r="L3889" s="4"/>
      <c r="M3889" s="4"/>
      <c r="N3889" s="4"/>
      <c r="O3889" s="4"/>
      <c r="P3889" s="4"/>
      <c r="Q3889" s="4"/>
      <c r="R3889" s="4"/>
      <c r="S3889" s="4"/>
      <c r="T3889" s="4"/>
      <c r="U3889" s="4"/>
      <c r="V3889" s="4"/>
      <c r="W3889" s="4"/>
      <c r="X3889" s="4"/>
      <c r="Y3889" s="4"/>
      <c r="Z3889" s="4"/>
      <c r="AA3889" s="4"/>
      <c r="AB3889" s="5"/>
    </row>
    <row r="3890" spans="1:28" x14ac:dyDescent="0.35">
      <c r="A3890" s="3"/>
      <c r="B3890" s="4"/>
      <c r="C3890" s="4"/>
      <c r="D3890" s="4"/>
      <c r="E3890" s="4"/>
      <c r="F3890" s="4"/>
      <c r="G3890" s="4"/>
      <c r="H3890" s="4"/>
      <c r="I3890" s="4"/>
      <c r="J3890" s="4"/>
      <c r="K3890" s="4"/>
      <c r="L3890" s="4"/>
      <c r="M3890" s="4"/>
      <c r="N3890" s="4"/>
      <c r="O3890" s="4"/>
      <c r="P3890" s="4"/>
      <c r="Q3890" s="4"/>
      <c r="R3890" s="4"/>
      <c r="S3890" s="4"/>
      <c r="T3890" s="4"/>
      <c r="U3890" s="4"/>
      <c r="V3890" s="4"/>
      <c r="W3890" s="4"/>
      <c r="X3890" s="4"/>
      <c r="Y3890" s="4"/>
      <c r="Z3890" s="4"/>
      <c r="AA3890" s="4"/>
      <c r="AB3890" s="5"/>
    </row>
    <row r="3891" spans="1:28" x14ac:dyDescent="0.35">
      <c r="A3891" s="3"/>
      <c r="B3891" s="4"/>
      <c r="C3891" s="4"/>
      <c r="D3891" s="4"/>
      <c r="E3891" s="4"/>
      <c r="F3891" s="4"/>
      <c r="G3891" s="4"/>
      <c r="H3891" s="4"/>
      <c r="I3891" s="4"/>
      <c r="J3891" s="4"/>
      <c r="K3891" s="4"/>
      <c r="L3891" s="4"/>
      <c r="M3891" s="4"/>
      <c r="N3891" s="4"/>
      <c r="O3891" s="4"/>
      <c r="P3891" s="4"/>
      <c r="Q3891" s="4"/>
      <c r="R3891" s="4"/>
      <c r="S3891" s="4"/>
      <c r="T3891" s="4"/>
      <c r="U3891" s="4"/>
      <c r="V3891" s="4"/>
      <c r="W3891" s="4"/>
      <c r="X3891" s="4"/>
      <c r="Y3891" s="4"/>
      <c r="Z3891" s="4"/>
      <c r="AA3891" s="4"/>
      <c r="AB3891" s="5"/>
    </row>
    <row r="3892" spans="1:28" x14ac:dyDescent="0.35">
      <c r="A3892" s="3"/>
      <c r="B3892" s="4"/>
      <c r="C3892" s="4"/>
      <c r="D3892" s="4"/>
      <c r="E3892" s="4"/>
      <c r="F3892" s="4"/>
      <c r="G3892" s="4"/>
      <c r="H3892" s="4"/>
      <c r="I3892" s="4"/>
      <c r="J3892" s="4"/>
      <c r="K3892" s="4"/>
      <c r="L3892" s="4"/>
      <c r="M3892" s="4"/>
      <c r="N3892" s="4"/>
      <c r="O3892" s="4"/>
      <c r="P3892" s="4"/>
      <c r="Q3892" s="4"/>
      <c r="R3892" s="4"/>
      <c r="S3892" s="4"/>
      <c r="T3892" s="4"/>
      <c r="U3892" s="4"/>
      <c r="V3892" s="4"/>
      <c r="W3892" s="4"/>
      <c r="X3892" s="4"/>
      <c r="Y3892" s="4"/>
      <c r="Z3892" s="4"/>
      <c r="AA3892" s="4"/>
      <c r="AB3892" s="5"/>
    </row>
    <row r="3893" spans="1:28" x14ac:dyDescent="0.35">
      <c r="A3893" s="3"/>
      <c r="B3893" s="4"/>
      <c r="C3893" s="4"/>
      <c r="D3893" s="4"/>
      <c r="E3893" s="4"/>
      <c r="F3893" s="4"/>
      <c r="G3893" s="4"/>
      <c r="H3893" s="4"/>
      <c r="I3893" s="4"/>
      <c r="J3893" s="4"/>
      <c r="K3893" s="4"/>
      <c r="L3893" s="4"/>
      <c r="M3893" s="4"/>
      <c r="N3893" s="4"/>
      <c r="O3893" s="4"/>
      <c r="P3893" s="4"/>
      <c r="Q3893" s="4"/>
      <c r="R3893" s="4"/>
      <c r="S3893" s="4"/>
      <c r="T3893" s="4"/>
      <c r="U3893" s="4"/>
      <c r="V3893" s="4"/>
      <c r="W3893" s="4"/>
      <c r="X3893" s="4"/>
      <c r="Y3893" s="4"/>
      <c r="Z3893" s="4"/>
      <c r="AA3893" s="4"/>
      <c r="AB3893" s="5"/>
    </row>
    <row r="3894" spans="1:28" x14ac:dyDescent="0.35">
      <c r="A3894" s="3"/>
      <c r="B3894" s="4"/>
      <c r="C3894" s="4"/>
      <c r="D3894" s="4"/>
      <c r="E3894" s="4"/>
      <c r="F3894" s="4"/>
      <c r="G3894" s="4"/>
      <c r="H3894" s="4"/>
      <c r="I3894" s="4"/>
      <c r="J3894" s="4"/>
      <c r="K3894" s="4"/>
      <c r="L3894" s="4"/>
      <c r="M3894" s="4"/>
      <c r="N3894" s="4"/>
      <c r="O3894" s="4"/>
      <c r="P3894" s="4"/>
      <c r="Q3894" s="4"/>
      <c r="R3894" s="4"/>
      <c r="S3894" s="4"/>
      <c r="T3894" s="4"/>
      <c r="U3894" s="4"/>
      <c r="V3894" s="4"/>
      <c r="W3894" s="4"/>
      <c r="X3894" s="4"/>
      <c r="Y3894" s="4"/>
      <c r="Z3894" s="4"/>
      <c r="AA3894" s="4"/>
      <c r="AB3894" s="5"/>
    </row>
    <row r="3895" spans="1:28" x14ac:dyDescent="0.35">
      <c r="A3895" s="3"/>
      <c r="B3895" s="4"/>
      <c r="C3895" s="4"/>
      <c r="D3895" s="4"/>
      <c r="E3895" s="4"/>
      <c r="F3895" s="4"/>
      <c r="G3895" s="4"/>
      <c r="H3895" s="4"/>
      <c r="I3895" s="4"/>
      <c r="J3895" s="4"/>
      <c r="K3895" s="4"/>
      <c r="L3895" s="4"/>
      <c r="M3895" s="4"/>
      <c r="N3895" s="4"/>
      <c r="O3895" s="4"/>
      <c r="P3895" s="4"/>
      <c r="Q3895" s="4"/>
      <c r="R3895" s="4"/>
      <c r="S3895" s="4"/>
      <c r="T3895" s="4"/>
      <c r="U3895" s="4"/>
      <c r="V3895" s="4"/>
      <c r="W3895" s="4"/>
      <c r="X3895" s="4"/>
      <c r="Y3895" s="4"/>
      <c r="Z3895" s="4"/>
      <c r="AA3895" s="4"/>
      <c r="AB3895" s="5"/>
    </row>
    <row r="3896" spans="1:28" x14ac:dyDescent="0.35">
      <c r="A3896" s="3"/>
      <c r="B3896" s="4"/>
      <c r="C3896" s="4"/>
      <c r="D3896" s="4"/>
      <c r="E3896" s="4"/>
      <c r="F3896" s="4"/>
      <c r="G3896" s="4"/>
      <c r="H3896" s="4"/>
      <c r="I3896" s="4"/>
      <c r="J3896" s="4"/>
      <c r="K3896" s="4"/>
      <c r="L3896" s="4"/>
      <c r="M3896" s="4"/>
      <c r="N3896" s="4"/>
      <c r="O3896" s="4"/>
      <c r="P3896" s="4"/>
      <c r="Q3896" s="4"/>
      <c r="R3896" s="4"/>
      <c r="S3896" s="4"/>
      <c r="T3896" s="4"/>
      <c r="U3896" s="4"/>
      <c r="V3896" s="4"/>
      <c r="W3896" s="4"/>
      <c r="X3896" s="4"/>
      <c r="Y3896" s="4"/>
      <c r="Z3896" s="4"/>
      <c r="AA3896" s="4"/>
      <c r="AB3896" s="5"/>
    </row>
    <row r="3897" spans="1:28" x14ac:dyDescent="0.35">
      <c r="A3897" s="3"/>
      <c r="B3897" s="4"/>
      <c r="C3897" s="4"/>
      <c r="D3897" s="4"/>
      <c r="E3897" s="4"/>
      <c r="F3897" s="4"/>
      <c r="G3897" s="4"/>
      <c r="H3897" s="4"/>
      <c r="I3897" s="4"/>
      <c r="J3897" s="4"/>
      <c r="K3897" s="4"/>
      <c r="L3897" s="4"/>
      <c r="M3897" s="4"/>
      <c r="N3897" s="4"/>
      <c r="O3897" s="4"/>
      <c r="P3897" s="4"/>
      <c r="Q3897" s="4"/>
      <c r="R3897" s="4"/>
      <c r="S3897" s="4"/>
      <c r="T3897" s="4"/>
      <c r="U3897" s="4"/>
      <c r="V3897" s="4"/>
      <c r="W3897" s="4"/>
      <c r="X3897" s="4"/>
      <c r="Y3897" s="4"/>
      <c r="Z3897" s="4"/>
      <c r="AA3897" s="4"/>
      <c r="AB3897" s="5"/>
    </row>
    <row r="3898" spans="1:28" x14ac:dyDescent="0.35">
      <c r="A3898" s="3"/>
      <c r="B3898" s="4"/>
      <c r="C3898" s="4"/>
      <c r="D3898" s="4"/>
      <c r="E3898" s="4"/>
      <c r="F3898" s="4"/>
      <c r="G3898" s="4"/>
      <c r="H3898" s="4"/>
      <c r="I3898" s="4"/>
      <c r="J3898" s="4"/>
      <c r="K3898" s="4"/>
      <c r="L3898" s="4"/>
      <c r="M3898" s="4"/>
      <c r="N3898" s="4"/>
      <c r="O3898" s="4"/>
      <c r="P3898" s="4"/>
      <c r="Q3898" s="4"/>
      <c r="R3898" s="4"/>
      <c r="S3898" s="4"/>
      <c r="T3898" s="4"/>
      <c r="U3898" s="4"/>
      <c r="V3898" s="4"/>
      <c r="W3898" s="4"/>
      <c r="X3898" s="4"/>
      <c r="Y3898" s="4"/>
      <c r="Z3898" s="4"/>
      <c r="AA3898" s="4"/>
      <c r="AB3898" s="5"/>
    </row>
    <row r="3899" spans="1:28" x14ac:dyDescent="0.35">
      <c r="A3899" s="3"/>
      <c r="B3899" s="4"/>
      <c r="C3899" s="4"/>
      <c r="D3899" s="4"/>
      <c r="E3899" s="4"/>
      <c r="F3899" s="4"/>
      <c r="G3899" s="4"/>
      <c r="H3899" s="4"/>
      <c r="I3899" s="4"/>
      <c r="J3899" s="4"/>
      <c r="K3899" s="4"/>
      <c r="L3899" s="4"/>
      <c r="M3899" s="4"/>
      <c r="N3899" s="4"/>
      <c r="O3899" s="4"/>
      <c r="P3899" s="4"/>
      <c r="Q3899" s="4"/>
      <c r="R3899" s="4"/>
      <c r="S3899" s="4"/>
      <c r="T3899" s="4"/>
      <c r="U3899" s="4"/>
      <c r="V3899" s="4"/>
      <c r="W3899" s="4"/>
      <c r="X3899" s="4"/>
      <c r="Y3899" s="4"/>
      <c r="Z3899" s="4"/>
      <c r="AA3899" s="4"/>
      <c r="AB3899" s="5"/>
    </row>
    <row r="3900" spans="1:28" x14ac:dyDescent="0.35">
      <c r="A3900" s="3"/>
      <c r="B3900" s="4"/>
      <c r="C3900" s="4"/>
      <c r="D3900" s="4"/>
      <c r="E3900" s="4"/>
      <c r="F3900" s="4"/>
      <c r="G3900" s="4"/>
      <c r="H3900" s="4"/>
      <c r="I3900" s="4"/>
      <c r="J3900" s="4"/>
      <c r="K3900" s="4"/>
      <c r="L3900" s="4"/>
      <c r="M3900" s="4"/>
      <c r="N3900" s="4"/>
      <c r="O3900" s="4"/>
      <c r="P3900" s="4"/>
      <c r="Q3900" s="4"/>
      <c r="R3900" s="4"/>
      <c r="S3900" s="4"/>
      <c r="T3900" s="4"/>
      <c r="U3900" s="4"/>
      <c r="V3900" s="4"/>
      <c r="W3900" s="4"/>
      <c r="X3900" s="4"/>
      <c r="Y3900" s="4"/>
      <c r="Z3900" s="4"/>
      <c r="AA3900" s="4"/>
      <c r="AB3900" s="5"/>
    </row>
    <row r="3901" spans="1:28" x14ac:dyDescent="0.35">
      <c r="A3901" s="3"/>
      <c r="B3901" s="4"/>
      <c r="C3901" s="4"/>
      <c r="D3901" s="4"/>
      <c r="E3901" s="4"/>
      <c r="F3901" s="4"/>
      <c r="G3901" s="4"/>
      <c r="H3901" s="4"/>
      <c r="I3901" s="4"/>
      <c r="J3901" s="4"/>
      <c r="K3901" s="4"/>
      <c r="L3901" s="4"/>
      <c r="M3901" s="4"/>
      <c r="N3901" s="4"/>
      <c r="O3901" s="4"/>
      <c r="P3901" s="4"/>
      <c r="Q3901" s="4"/>
      <c r="R3901" s="4"/>
      <c r="S3901" s="4"/>
      <c r="T3901" s="4"/>
      <c r="U3901" s="4"/>
      <c r="V3901" s="4"/>
      <c r="W3901" s="4"/>
      <c r="X3901" s="4"/>
      <c r="Y3901" s="4"/>
      <c r="Z3901" s="4"/>
      <c r="AA3901" s="4"/>
      <c r="AB3901" s="5"/>
    </row>
    <row r="3902" spans="1:28" x14ac:dyDescent="0.35">
      <c r="A3902" s="3"/>
      <c r="B3902" s="4"/>
      <c r="C3902" s="4"/>
      <c r="D3902" s="4"/>
      <c r="E3902" s="4"/>
      <c r="F3902" s="4"/>
      <c r="G3902" s="4"/>
      <c r="H3902" s="4"/>
      <c r="I3902" s="4"/>
      <c r="J3902" s="4"/>
      <c r="K3902" s="4"/>
      <c r="L3902" s="4"/>
      <c r="M3902" s="4"/>
      <c r="N3902" s="4"/>
      <c r="O3902" s="4"/>
      <c r="P3902" s="4"/>
      <c r="Q3902" s="4"/>
      <c r="R3902" s="4"/>
      <c r="S3902" s="4"/>
      <c r="T3902" s="4"/>
      <c r="U3902" s="4"/>
      <c r="V3902" s="4"/>
      <c r="W3902" s="4"/>
      <c r="X3902" s="4"/>
      <c r="Y3902" s="4"/>
      <c r="Z3902" s="4"/>
      <c r="AA3902" s="4"/>
      <c r="AB3902" s="5"/>
    </row>
    <row r="3903" spans="1:28" x14ac:dyDescent="0.35">
      <c r="A3903" s="3"/>
      <c r="B3903" s="4"/>
      <c r="C3903" s="4"/>
      <c r="D3903" s="4"/>
      <c r="E3903" s="4"/>
      <c r="F3903" s="4"/>
      <c r="G3903" s="4"/>
      <c r="H3903" s="4"/>
      <c r="I3903" s="4"/>
      <c r="J3903" s="4"/>
      <c r="K3903" s="4"/>
      <c r="L3903" s="4"/>
      <c r="M3903" s="4"/>
      <c r="N3903" s="4"/>
      <c r="O3903" s="4"/>
      <c r="P3903" s="4"/>
      <c r="Q3903" s="4"/>
      <c r="R3903" s="4"/>
      <c r="S3903" s="4"/>
      <c r="T3903" s="4"/>
      <c r="U3903" s="4"/>
      <c r="V3903" s="4"/>
      <c r="W3903" s="4"/>
      <c r="X3903" s="4"/>
      <c r="Y3903" s="4"/>
      <c r="Z3903" s="4"/>
      <c r="AA3903" s="4"/>
      <c r="AB3903" s="5"/>
    </row>
    <row r="3904" spans="1:28" x14ac:dyDescent="0.35">
      <c r="A3904" s="3"/>
      <c r="B3904" s="4"/>
      <c r="C3904" s="4"/>
      <c r="D3904" s="4"/>
      <c r="E3904" s="4"/>
      <c r="F3904" s="4"/>
      <c r="G3904" s="4"/>
      <c r="H3904" s="4"/>
      <c r="I3904" s="4"/>
      <c r="J3904" s="4"/>
      <c r="K3904" s="4"/>
      <c r="L3904" s="4"/>
      <c r="M3904" s="4"/>
      <c r="N3904" s="4"/>
      <c r="O3904" s="4"/>
      <c r="P3904" s="4"/>
      <c r="Q3904" s="4"/>
      <c r="R3904" s="4"/>
      <c r="S3904" s="4"/>
      <c r="T3904" s="4"/>
      <c r="U3904" s="4"/>
      <c r="V3904" s="4"/>
      <c r="W3904" s="4"/>
      <c r="X3904" s="4"/>
      <c r="Y3904" s="4"/>
      <c r="Z3904" s="4"/>
      <c r="AA3904" s="4"/>
      <c r="AB3904" s="5"/>
    </row>
    <row r="3905" spans="1:28" x14ac:dyDescent="0.35">
      <c r="A3905" s="3"/>
      <c r="B3905" s="4"/>
      <c r="C3905" s="4"/>
      <c r="D3905" s="4"/>
      <c r="E3905" s="4"/>
      <c r="F3905" s="4"/>
      <c r="G3905" s="4"/>
      <c r="H3905" s="4"/>
      <c r="I3905" s="4"/>
      <c r="J3905" s="4"/>
      <c r="K3905" s="4"/>
      <c r="L3905" s="4"/>
      <c r="M3905" s="4"/>
      <c r="N3905" s="4"/>
      <c r="O3905" s="4"/>
      <c r="P3905" s="4"/>
      <c r="Q3905" s="4"/>
      <c r="R3905" s="4"/>
      <c r="S3905" s="4"/>
      <c r="T3905" s="4"/>
      <c r="U3905" s="4"/>
      <c r="V3905" s="4"/>
      <c r="W3905" s="4"/>
      <c r="X3905" s="4"/>
      <c r="Y3905" s="4"/>
      <c r="Z3905" s="4"/>
      <c r="AA3905" s="4"/>
      <c r="AB3905" s="5"/>
    </row>
    <row r="3906" spans="1:28" x14ac:dyDescent="0.35">
      <c r="A3906" s="3"/>
      <c r="B3906" s="4"/>
      <c r="C3906" s="4"/>
      <c r="D3906" s="4"/>
      <c r="E3906" s="4"/>
      <c r="F3906" s="4"/>
      <c r="G3906" s="4"/>
      <c r="H3906" s="4"/>
      <c r="I3906" s="4"/>
      <c r="J3906" s="4"/>
      <c r="K3906" s="4"/>
      <c r="L3906" s="4"/>
      <c r="M3906" s="4"/>
      <c r="N3906" s="4"/>
      <c r="O3906" s="4"/>
      <c r="P3906" s="4"/>
      <c r="Q3906" s="4"/>
      <c r="R3906" s="4"/>
      <c r="S3906" s="4"/>
      <c r="T3906" s="4"/>
      <c r="U3906" s="4"/>
      <c r="V3906" s="4"/>
      <c r="W3906" s="4"/>
      <c r="X3906" s="4"/>
      <c r="Y3906" s="4"/>
      <c r="Z3906" s="4"/>
      <c r="AA3906" s="4"/>
      <c r="AB3906" s="5"/>
    </row>
    <row r="3907" spans="1:28" x14ac:dyDescent="0.35">
      <c r="A3907" s="3"/>
      <c r="B3907" s="4"/>
      <c r="C3907" s="4"/>
      <c r="D3907" s="4"/>
      <c r="E3907" s="4"/>
      <c r="F3907" s="4"/>
      <c r="G3907" s="4"/>
      <c r="H3907" s="4"/>
      <c r="I3907" s="4"/>
      <c r="J3907" s="4"/>
      <c r="K3907" s="4"/>
      <c r="L3907" s="4"/>
      <c r="M3907" s="4"/>
      <c r="N3907" s="4"/>
      <c r="O3907" s="4"/>
      <c r="P3907" s="4"/>
      <c r="Q3907" s="4"/>
      <c r="R3907" s="4"/>
      <c r="S3907" s="4"/>
      <c r="T3907" s="4"/>
      <c r="U3907" s="4"/>
      <c r="V3907" s="4"/>
      <c r="W3907" s="4"/>
      <c r="X3907" s="4"/>
      <c r="Y3907" s="4"/>
      <c r="Z3907" s="4"/>
      <c r="AA3907" s="4"/>
      <c r="AB3907" s="5"/>
    </row>
    <row r="3908" spans="1:28" x14ac:dyDescent="0.35">
      <c r="A3908" s="3"/>
      <c r="B3908" s="4"/>
      <c r="C3908" s="4"/>
      <c r="D3908" s="4"/>
      <c r="E3908" s="4"/>
      <c r="F3908" s="4"/>
      <c r="G3908" s="4"/>
      <c r="H3908" s="4"/>
      <c r="I3908" s="4"/>
      <c r="J3908" s="4"/>
      <c r="K3908" s="4"/>
      <c r="L3908" s="4"/>
      <c r="M3908" s="4"/>
      <c r="N3908" s="4"/>
      <c r="O3908" s="4"/>
      <c r="P3908" s="4"/>
      <c r="Q3908" s="4"/>
      <c r="R3908" s="4"/>
      <c r="S3908" s="4"/>
      <c r="T3908" s="4"/>
      <c r="U3908" s="4"/>
      <c r="V3908" s="4"/>
      <c r="W3908" s="4"/>
      <c r="X3908" s="4"/>
      <c r="Y3908" s="4"/>
      <c r="Z3908" s="4"/>
      <c r="AA3908" s="4"/>
      <c r="AB3908" s="5"/>
    </row>
    <row r="3909" spans="1:28" x14ac:dyDescent="0.35">
      <c r="A3909" s="3"/>
      <c r="B3909" s="4"/>
      <c r="C3909" s="4"/>
      <c r="D3909" s="4"/>
      <c r="E3909" s="4"/>
      <c r="F3909" s="4"/>
      <c r="G3909" s="4"/>
      <c r="H3909" s="4"/>
      <c r="I3909" s="4"/>
      <c r="J3909" s="4"/>
      <c r="K3909" s="4"/>
      <c r="L3909" s="4"/>
      <c r="M3909" s="4"/>
      <c r="N3909" s="4"/>
      <c r="O3909" s="4"/>
      <c r="P3909" s="4"/>
      <c r="Q3909" s="4"/>
      <c r="R3909" s="4"/>
      <c r="S3909" s="4"/>
      <c r="T3909" s="4"/>
      <c r="U3909" s="4"/>
      <c r="V3909" s="4"/>
      <c r="W3909" s="4"/>
      <c r="X3909" s="4"/>
      <c r="Y3909" s="4"/>
      <c r="Z3909" s="4"/>
      <c r="AA3909" s="4"/>
      <c r="AB3909" s="5"/>
    </row>
    <row r="3910" spans="1:28" x14ac:dyDescent="0.35">
      <c r="A3910" s="3"/>
      <c r="B3910" s="4"/>
      <c r="C3910" s="4"/>
      <c r="D3910" s="4"/>
      <c r="E3910" s="4"/>
      <c r="F3910" s="4"/>
      <c r="G3910" s="4"/>
      <c r="H3910" s="4"/>
      <c r="I3910" s="4"/>
      <c r="J3910" s="4"/>
      <c r="K3910" s="4"/>
      <c r="L3910" s="4"/>
      <c r="M3910" s="4"/>
      <c r="N3910" s="4"/>
      <c r="O3910" s="4"/>
      <c r="P3910" s="4"/>
      <c r="Q3910" s="4"/>
      <c r="R3910" s="4"/>
      <c r="S3910" s="4"/>
      <c r="T3910" s="4"/>
      <c r="U3910" s="4"/>
      <c r="V3910" s="4"/>
      <c r="W3910" s="4"/>
      <c r="X3910" s="4"/>
      <c r="Y3910" s="4"/>
      <c r="Z3910" s="4"/>
      <c r="AA3910" s="4"/>
      <c r="AB3910" s="5"/>
    </row>
    <row r="3911" spans="1:28" x14ac:dyDescent="0.35">
      <c r="A3911" s="3"/>
      <c r="B3911" s="4"/>
      <c r="C3911" s="4"/>
      <c r="D3911" s="4"/>
      <c r="E3911" s="4"/>
      <c r="F3911" s="4"/>
      <c r="G3911" s="4"/>
      <c r="H3911" s="4"/>
      <c r="I3911" s="4"/>
      <c r="J3911" s="4"/>
      <c r="K3911" s="4"/>
      <c r="L3911" s="4"/>
      <c r="M3911" s="4"/>
      <c r="N3911" s="4"/>
      <c r="O3911" s="4"/>
      <c r="P3911" s="4"/>
      <c r="Q3911" s="4"/>
      <c r="R3911" s="4"/>
      <c r="S3911" s="4"/>
      <c r="T3911" s="4"/>
      <c r="U3911" s="4"/>
      <c r="V3911" s="4"/>
      <c r="W3911" s="4"/>
      <c r="X3911" s="4"/>
      <c r="Y3911" s="4"/>
      <c r="Z3911" s="4"/>
      <c r="AA3911" s="4"/>
      <c r="AB3911" s="5"/>
    </row>
    <row r="3912" spans="1:28" x14ac:dyDescent="0.35">
      <c r="A3912" s="3"/>
      <c r="B3912" s="4"/>
      <c r="C3912" s="4"/>
      <c r="D3912" s="4"/>
      <c r="E3912" s="4"/>
      <c r="F3912" s="4"/>
      <c r="G3912" s="4"/>
      <c r="H3912" s="4"/>
      <c r="I3912" s="4"/>
      <c r="J3912" s="4"/>
      <c r="K3912" s="4"/>
      <c r="L3912" s="4"/>
      <c r="M3912" s="4"/>
      <c r="N3912" s="4"/>
      <c r="O3912" s="4"/>
      <c r="P3912" s="4"/>
      <c r="Q3912" s="4"/>
      <c r="R3912" s="4"/>
      <c r="S3912" s="4"/>
      <c r="T3912" s="4"/>
      <c r="U3912" s="4"/>
      <c r="V3912" s="4"/>
      <c r="W3912" s="4"/>
      <c r="X3912" s="4"/>
      <c r="Y3912" s="4"/>
      <c r="Z3912" s="4"/>
      <c r="AA3912" s="4"/>
      <c r="AB3912" s="5"/>
    </row>
    <row r="3913" spans="1:28" x14ac:dyDescent="0.35">
      <c r="A3913" s="3"/>
      <c r="B3913" s="4"/>
      <c r="C3913" s="4"/>
      <c r="D3913" s="4"/>
      <c r="E3913" s="4"/>
      <c r="F3913" s="4"/>
      <c r="G3913" s="4"/>
      <c r="H3913" s="4"/>
      <c r="I3913" s="4"/>
      <c r="J3913" s="4"/>
      <c r="K3913" s="4"/>
      <c r="L3913" s="4"/>
      <c r="M3913" s="4"/>
      <c r="N3913" s="4"/>
      <c r="O3913" s="4"/>
      <c r="P3913" s="4"/>
      <c r="Q3913" s="4"/>
      <c r="R3913" s="4"/>
      <c r="S3913" s="4"/>
      <c r="T3913" s="4"/>
      <c r="U3913" s="4"/>
      <c r="V3913" s="4"/>
      <c r="W3913" s="4"/>
      <c r="X3913" s="4"/>
      <c r="Y3913" s="4"/>
      <c r="Z3913" s="4"/>
      <c r="AA3913" s="4"/>
      <c r="AB3913" s="5"/>
    </row>
    <row r="3914" spans="1:28" x14ac:dyDescent="0.35">
      <c r="A3914" s="3"/>
      <c r="B3914" s="4"/>
      <c r="C3914" s="4"/>
      <c r="D3914" s="4"/>
      <c r="E3914" s="4"/>
      <c r="F3914" s="4"/>
      <c r="G3914" s="4"/>
      <c r="H3914" s="4"/>
      <c r="I3914" s="4"/>
      <c r="J3914" s="4"/>
      <c r="K3914" s="4"/>
      <c r="L3914" s="4"/>
      <c r="M3914" s="4"/>
      <c r="N3914" s="4"/>
      <c r="O3914" s="4"/>
      <c r="P3914" s="4"/>
      <c r="Q3914" s="4"/>
      <c r="R3914" s="4"/>
      <c r="S3914" s="4"/>
      <c r="T3914" s="4"/>
      <c r="U3914" s="4"/>
      <c r="V3914" s="4"/>
      <c r="W3914" s="4"/>
      <c r="X3914" s="4"/>
      <c r="Y3914" s="4"/>
      <c r="Z3914" s="4"/>
      <c r="AA3914" s="4"/>
      <c r="AB3914" s="5"/>
    </row>
    <row r="3915" spans="1:28" x14ac:dyDescent="0.35">
      <c r="A3915" s="3"/>
      <c r="B3915" s="4"/>
      <c r="C3915" s="4"/>
      <c r="D3915" s="4"/>
      <c r="E3915" s="4"/>
      <c r="F3915" s="4"/>
      <c r="G3915" s="4"/>
      <c r="H3915" s="4"/>
      <c r="I3915" s="4"/>
      <c r="J3915" s="4"/>
      <c r="K3915" s="4"/>
      <c r="L3915" s="4"/>
      <c r="M3915" s="4"/>
      <c r="N3915" s="4"/>
      <c r="O3915" s="4"/>
      <c r="P3915" s="4"/>
      <c r="Q3915" s="4"/>
      <c r="R3915" s="4"/>
      <c r="S3915" s="4"/>
      <c r="T3915" s="4"/>
      <c r="U3915" s="4"/>
      <c r="V3915" s="4"/>
      <c r="W3915" s="4"/>
      <c r="X3915" s="4"/>
      <c r="Y3915" s="4"/>
      <c r="Z3915" s="4"/>
      <c r="AA3915" s="4"/>
      <c r="AB3915" s="5"/>
    </row>
    <row r="3916" spans="1:28" x14ac:dyDescent="0.35">
      <c r="A3916" s="3"/>
      <c r="B3916" s="4"/>
      <c r="C3916" s="4"/>
      <c r="D3916" s="4"/>
      <c r="E3916" s="4"/>
      <c r="F3916" s="4"/>
      <c r="G3916" s="4"/>
      <c r="H3916" s="4"/>
      <c r="I3916" s="4"/>
      <c r="J3916" s="4"/>
      <c r="K3916" s="4"/>
      <c r="L3916" s="4"/>
      <c r="M3916" s="4"/>
      <c r="N3916" s="4"/>
      <c r="O3916" s="4"/>
      <c r="P3916" s="4"/>
      <c r="Q3916" s="4"/>
      <c r="R3916" s="4"/>
      <c r="S3916" s="4"/>
      <c r="T3916" s="4"/>
      <c r="U3916" s="4"/>
      <c r="V3916" s="4"/>
      <c r="W3916" s="4"/>
      <c r="X3916" s="4"/>
      <c r="Y3916" s="4"/>
      <c r="Z3916" s="4"/>
      <c r="AA3916" s="4"/>
      <c r="AB3916" s="5"/>
    </row>
    <row r="3917" spans="1:28" x14ac:dyDescent="0.35">
      <c r="A3917" s="3"/>
      <c r="B3917" s="4"/>
      <c r="C3917" s="4"/>
      <c r="D3917" s="4"/>
      <c r="E3917" s="4"/>
      <c r="F3917" s="4"/>
      <c r="G3917" s="4"/>
      <c r="H3917" s="4"/>
      <c r="I3917" s="4"/>
      <c r="J3917" s="4"/>
      <c r="K3917" s="4"/>
      <c r="L3917" s="4"/>
      <c r="M3917" s="4"/>
      <c r="N3917" s="4"/>
      <c r="O3917" s="4"/>
      <c r="P3917" s="4"/>
      <c r="Q3917" s="4"/>
      <c r="R3917" s="4"/>
      <c r="S3917" s="4"/>
      <c r="T3917" s="4"/>
      <c r="U3917" s="4"/>
      <c r="V3917" s="4"/>
      <c r="W3917" s="4"/>
      <c r="X3917" s="4"/>
      <c r="Y3917" s="4"/>
      <c r="Z3917" s="4"/>
      <c r="AA3917" s="4"/>
      <c r="AB3917" s="5"/>
    </row>
    <row r="3918" spans="1:28" x14ac:dyDescent="0.35">
      <c r="A3918" s="3"/>
      <c r="B3918" s="4"/>
      <c r="C3918" s="4"/>
      <c r="D3918" s="4"/>
      <c r="E3918" s="4"/>
      <c r="F3918" s="4"/>
      <c r="G3918" s="4"/>
      <c r="H3918" s="4"/>
      <c r="I3918" s="4"/>
      <c r="J3918" s="4"/>
      <c r="K3918" s="4"/>
      <c r="L3918" s="4"/>
      <c r="M3918" s="4"/>
      <c r="N3918" s="4"/>
      <c r="O3918" s="4"/>
      <c r="P3918" s="4"/>
      <c r="Q3918" s="4"/>
      <c r="R3918" s="4"/>
      <c r="S3918" s="4"/>
      <c r="T3918" s="4"/>
      <c r="U3918" s="4"/>
      <c r="V3918" s="4"/>
      <c r="W3918" s="4"/>
      <c r="X3918" s="4"/>
      <c r="Y3918" s="4"/>
      <c r="Z3918" s="4"/>
      <c r="AA3918" s="4"/>
      <c r="AB3918" s="5"/>
    </row>
    <row r="3919" spans="1:28" x14ac:dyDescent="0.35">
      <c r="A3919" s="3"/>
      <c r="B3919" s="4"/>
      <c r="C3919" s="4"/>
      <c r="D3919" s="4"/>
      <c r="E3919" s="4"/>
      <c r="F3919" s="4"/>
      <c r="G3919" s="4"/>
      <c r="H3919" s="4"/>
      <c r="I3919" s="4"/>
      <c r="J3919" s="4"/>
      <c r="K3919" s="4"/>
      <c r="L3919" s="4"/>
      <c r="M3919" s="4"/>
      <c r="N3919" s="4"/>
      <c r="O3919" s="4"/>
      <c r="P3919" s="4"/>
      <c r="Q3919" s="4"/>
      <c r="R3919" s="4"/>
      <c r="S3919" s="4"/>
      <c r="T3919" s="4"/>
      <c r="U3919" s="4"/>
      <c r="V3919" s="4"/>
      <c r="W3919" s="4"/>
      <c r="X3919" s="4"/>
      <c r="Y3919" s="4"/>
      <c r="Z3919" s="4"/>
      <c r="AA3919" s="4"/>
      <c r="AB3919" s="5"/>
    </row>
    <row r="3920" spans="1:28" x14ac:dyDescent="0.35">
      <c r="A3920" s="3"/>
      <c r="B3920" s="4"/>
      <c r="C3920" s="4"/>
      <c r="D3920" s="4"/>
      <c r="E3920" s="4"/>
      <c r="F3920" s="4"/>
      <c r="G3920" s="4"/>
      <c r="H3920" s="4"/>
      <c r="I3920" s="4"/>
      <c r="J3920" s="4"/>
      <c r="K3920" s="4"/>
      <c r="L3920" s="4"/>
      <c r="M3920" s="4"/>
      <c r="N3920" s="4"/>
      <c r="O3920" s="4"/>
      <c r="P3920" s="4"/>
      <c r="Q3920" s="4"/>
      <c r="R3920" s="4"/>
      <c r="S3920" s="4"/>
      <c r="T3920" s="4"/>
      <c r="U3920" s="4"/>
      <c r="V3920" s="4"/>
      <c r="W3920" s="4"/>
      <c r="X3920" s="4"/>
      <c r="Y3920" s="4"/>
      <c r="Z3920" s="4"/>
      <c r="AA3920" s="4"/>
      <c r="AB3920" s="5"/>
    </row>
    <row r="3921" spans="1:28" x14ac:dyDescent="0.35">
      <c r="A3921" s="3"/>
      <c r="B3921" s="4"/>
      <c r="C3921" s="4"/>
      <c r="D3921" s="4"/>
      <c r="E3921" s="4"/>
      <c r="F3921" s="4"/>
      <c r="G3921" s="4"/>
      <c r="H3921" s="4"/>
      <c r="I3921" s="4"/>
      <c r="J3921" s="4"/>
      <c r="K3921" s="4"/>
      <c r="L3921" s="4"/>
      <c r="M3921" s="4"/>
      <c r="N3921" s="4"/>
      <c r="O3921" s="4"/>
      <c r="P3921" s="4"/>
      <c r="Q3921" s="4"/>
      <c r="R3921" s="4"/>
      <c r="S3921" s="4"/>
      <c r="T3921" s="4"/>
      <c r="U3921" s="4"/>
      <c r="V3921" s="4"/>
      <c r="W3921" s="4"/>
      <c r="X3921" s="4"/>
      <c r="Y3921" s="4"/>
      <c r="Z3921" s="4"/>
      <c r="AA3921" s="4"/>
      <c r="AB3921" s="5"/>
    </row>
    <row r="3922" spans="1:28" x14ac:dyDescent="0.35">
      <c r="A3922" s="3"/>
      <c r="B3922" s="4"/>
      <c r="C3922" s="4"/>
      <c r="D3922" s="4"/>
      <c r="E3922" s="4"/>
      <c r="F3922" s="4"/>
      <c r="G3922" s="4"/>
      <c r="H3922" s="4"/>
      <c r="I3922" s="4"/>
      <c r="J3922" s="4"/>
      <c r="K3922" s="4"/>
      <c r="L3922" s="4"/>
      <c r="M3922" s="4"/>
      <c r="N3922" s="4"/>
      <c r="O3922" s="4"/>
      <c r="P3922" s="4"/>
      <c r="Q3922" s="4"/>
      <c r="R3922" s="4"/>
      <c r="S3922" s="4"/>
      <c r="T3922" s="4"/>
      <c r="U3922" s="4"/>
      <c r="V3922" s="4"/>
      <c r="W3922" s="4"/>
      <c r="X3922" s="4"/>
      <c r="Y3922" s="4"/>
      <c r="Z3922" s="4"/>
      <c r="AA3922" s="4"/>
      <c r="AB3922" s="5"/>
    </row>
    <row r="3923" spans="1:28" x14ac:dyDescent="0.35">
      <c r="A3923" s="3"/>
      <c r="B3923" s="4"/>
      <c r="C3923" s="4"/>
      <c r="D3923" s="4"/>
      <c r="E3923" s="4"/>
      <c r="F3923" s="4"/>
      <c r="G3923" s="4"/>
      <c r="H3923" s="4"/>
      <c r="I3923" s="4"/>
      <c r="J3923" s="4"/>
      <c r="K3923" s="4"/>
      <c r="L3923" s="4"/>
      <c r="M3923" s="4"/>
      <c r="N3923" s="4"/>
      <c r="O3923" s="4"/>
      <c r="P3923" s="4"/>
      <c r="Q3923" s="4"/>
      <c r="R3923" s="4"/>
      <c r="S3923" s="4"/>
      <c r="T3923" s="4"/>
      <c r="U3923" s="4"/>
      <c r="V3923" s="4"/>
      <c r="W3923" s="4"/>
      <c r="X3923" s="4"/>
      <c r="Y3923" s="4"/>
      <c r="Z3923" s="4"/>
      <c r="AA3923" s="4"/>
      <c r="AB3923" s="5"/>
    </row>
    <row r="3924" spans="1:28" x14ac:dyDescent="0.35">
      <c r="A3924" s="3"/>
      <c r="B3924" s="4"/>
      <c r="C3924" s="4"/>
      <c r="D3924" s="4"/>
      <c r="E3924" s="4"/>
      <c r="F3924" s="4"/>
      <c r="G3924" s="4"/>
      <c r="H3924" s="4"/>
      <c r="I3924" s="4"/>
      <c r="J3924" s="4"/>
      <c r="K3924" s="4"/>
      <c r="L3924" s="4"/>
      <c r="M3924" s="4"/>
      <c r="N3924" s="4"/>
      <c r="O3924" s="4"/>
      <c r="P3924" s="4"/>
      <c r="Q3924" s="4"/>
      <c r="R3924" s="4"/>
      <c r="S3924" s="4"/>
      <c r="T3924" s="4"/>
      <c r="U3924" s="4"/>
      <c r="V3924" s="4"/>
      <c r="W3924" s="4"/>
      <c r="X3924" s="4"/>
      <c r="Y3924" s="4"/>
      <c r="Z3924" s="4"/>
      <c r="AA3924" s="4"/>
      <c r="AB3924" s="5"/>
    </row>
    <row r="3925" spans="1:28" x14ac:dyDescent="0.35">
      <c r="A3925" s="3"/>
      <c r="B3925" s="4"/>
      <c r="C3925" s="4"/>
      <c r="D3925" s="4"/>
      <c r="E3925" s="4"/>
      <c r="F3925" s="4"/>
      <c r="G3925" s="4"/>
      <c r="H3925" s="4"/>
      <c r="I3925" s="4"/>
      <c r="J3925" s="4"/>
      <c r="K3925" s="4"/>
      <c r="L3925" s="4"/>
      <c r="M3925" s="4"/>
      <c r="N3925" s="4"/>
      <c r="O3925" s="4"/>
      <c r="P3925" s="4"/>
      <c r="Q3925" s="4"/>
      <c r="R3925" s="4"/>
      <c r="S3925" s="4"/>
      <c r="T3925" s="4"/>
      <c r="U3925" s="4"/>
      <c r="V3925" s="4"/>
      <c r="W3925" s="4"/>
      <c r="X3925" s="4"/>
      <c r="Y3925" s="4"/>
      <c r="Z3925" s="4"/>
      <c r="AA3925" s="4"/>
      <c r="AB3925" s="5"/>
    </row>
    <row r="3926" spans="1:28" x14ac:dyDescent="0.35">
      <c r="A3926" s="3"/>
      <c r="B3926" s="4"/>
      <c r="C3926" s="4"/>
      <c r="D3926" s="4"/>
      <c r="E3926" s="4"/>
      <c r="F3926" s="4"/>
      <c r="G3926" s="4"/>
      <c r="H3926" s="4"/>
      <c r="I3926" s="4"/>
      <c r="J3926" s="4"/>
      <c r="K3926" s="4"/>
      <c r="L3926" s="4"/>
      <c r="M3926" s="4"/>
      <c r="N3926" s="4"/>
      <c r="O3926" s="4"/>
      <c r="P3926" s="4"/>
      <c r="Q3926" s="4"/>
      <c r="R3926" s="4"/>
      <c r="S3926" s="4"/>
      <c r="T3926" s="4"/>
      <c r="U3926" s="4"/>
      <c r="V3926" s="4"/>
      <c r="W3926" s="4"/>
      <c r="X3926" s="4"/>
      <c r="Y3926" s="4"/>
      <c r="Z3926" s="4"/>
      <c r="AA3926" s="4"/>
      <c r="AB3926" s="5"/>
    </row>
    <row r="3927" spans="1:28" x14ac:dyDescent="0.35">
      <c r="A3927" s="3"/>
      <c r="B3927" s="4"/>
      <c r="C3927" s="4"/>
      <c r="D3927" s="4"/>
      <c r="E3927" s="4"/>
      <c r="F3927" s="4"/>
      <c r="G3927" s="4"/>
      <c r="H3927" s="4"/>
      <c r="I3927" s="4"/>
      <c r="J3927" s="4"/>
      <c r="K3927" s="4"/>
      <c r="L3927" s="4"/>
      <c r="M3927" s="4"/>
      <c r="N3927" s="4"/>
      <c r="O3927" s="4"/>
      <c r="P3927" s="4"/>
      <c r="Q3927" s="4"/>
      <c r="R3927" s="4"/>
      <c r="S3927" s="4"/>
      <c r="T3927" s="4"/>
      <c r="U3927" s="4"/>
      <c r="V3927" s="4"/>
      <c r="W3927" s="4"/>
      <c r="X3927" s="4"/>
      <c r="Y3927" s="4"/>
      <c r="Z3927" s="4"/>
      <c r="AA3927" s="4"/>
      <c r="AB3927" s="5"/>
    </row>
    <row r="3928" spans="1:28" x14ac:dyDescent="0.35">
      <c r="A3928" s="3"/>
      <c r="B3928" s="4"/>
      <c r="C3928" s="4"/>
      <c r="D3928" s="4"/>
      <c r="E3928" s="4"/>
      <c r="F3928" s="4"/>
      <c r="G3928" s="4"/>
      <c r="H3928" s="4"/>
      <c r="I3928" s="4"/>
      <c r="J3928" s="4"/>
      <c r="K3928" s="4"/>
      <c r="L3928" s="4"/>
      <c r="M3928" s="4"/>
      <c r="N3928" s="4"/>
      <c r="O3928" s="4"/>
      <c r="P3928" s="4"/>
      <c r="Q3928" s="4"/>
      <c r="R3928" s="4"/>
      <c r="S3928" s="4"/>
      <c r="T3928" s="4"/>
      <c r="U3928" s="4"/>
      <c r="V3928" s="4"/>
      <c r="W3928" s="4"/>
      <c r="X3928" s="4"/>
      <c r="Y3928" s="4"/>
      <c r="Z3928" s="4"/>
      <c r="AA3928" s="4"/>
      <c r="AB3928" s="5"/>
    </row>
    <row r="3929" spans="1:28" x14ac:dyDescent="0.35">
      <c r="A3929" s="3"/>
      <c r="B3929" s="4"/>
      <c r="C3929" s="4"/>
      <c r="D3929" s="4"/>
      <c r="E3929" s="4"/>
      <c r="F3929" s="4"/>
      <c r="G3929" s="4"/>
      <c r="H3929" s="4"/>
      <c r="I3929" s="4"/>
      <c r="J3929" s="4"/>
      <c r="K3929" s="4"/>
      <c r="L3929" s="4"/>
      <c r="M3929" s="4"/>
      <c r="N3929" s="4"/>
      <c r="O3929" s="4"/>
      <c r="P3929" s="4"/>
      <c r="Q3929" s="4"/>
      <c r="R3929" s="4"/>
      <c r="S3929" s="4"/>
      <c r="T3929" s="4"/>
      <c r="U3929" s="4"/>
      <c r="V3929" s="4"/>
      <c r="W3929" s="4"/>
      <c r="X3929" s="4"/>
      <c r="Y3929" s="4"/>
      <c r="Z3929" s="4"/>
      <c r="AA3929" s="4"/>
      <c r="AB3929" s="5"/>
    </row>
    <row r="3930" spans="1:28" x14ac:dyDescent="0.35">
      <c r="A3930" s="3"/>
      <c r="B3930" s="4"/>
      <c r="C3930" s="4"/>
      <c r="D3930" s="4"/>
      <c r="E3930" s="4"/>
      <c r="F3930" s="4"/>
      <c r="G3930" s="4"/>
      <c r="H3930" s="4"/>
      <c r="I3930" s="4"/>
      <c r="J3930" s="4"/>
      <c r="K3930" s="4"/>
      <c r="L3930" s="4"/>
      <c r="M3930" s="4"/>
      <c r="N3930" s="4"/>
      <c r="O3930" s="4"/>
      <c r="P3930" s="4"/>
      <c r="Q3930" s="4"/>
      <c r="R3930" s="4"/>
      <c r="S3930" s="4"/>
      <c r="T3930" s="4"/>
      <c r="U3930" s="4"/>
      <c r="V3930" s="4"/>
      <c r="W3930" s="4"/>
      <c r="X3930" s="4"/>
      <c r="Y3930" s="4"/>
      <c r="Z3930" s="4"/>
      <c r="AA3930" s="4"/>
      <c r="AB3930" s="5"/>
    </row>
    <row r="3931" spans="1:28" x14ac:dyDescent="0.35">
      <c r="A3931" s="3"/>
      <c r="B3931" s="4"/>
      <c r="C3931" s="4"/>
      <c r="D3931" s="4"/>
      <c r="E3931" s="4"/>
      <c r="F3931" s="4"/>
      <c r="G3931" s="4"/>
      <c r="H3931" s="4"/>
      <c r="I3931" s="4"/>
      <c r="J3931" s="4"/>
      <c r="K3931" s="4"/>
      <c r="L3931" s="4"/>
      <c r="M3931" s="4"/>
      <c r="N3931" s="4"/>
      <c r="O3931" s="4"/>
      <c r="P3931" s="4"/>
      <c r="Q3931" s="4"/>
      <c r="R3931" s="4"/>
      <c r="S3931" s="4"/>
      <c r="T3931" s="4"/>
      <c r="U3931" s="4"/>
      <c r="V3931" s="4"/>
      <c r="W3931" s="4"/>
      <c r="X3931" s="4"/>
      <c r="Y3931" s="4"/>
      <c r="Z3931" s="4"/>
      <c r="AA3931" s="4"/>
      <c r="AB3931" s="5"/>
    </row>
    <row r="3932" spans="1:28" x14ac:dyDescent="0.35">
      <c r="A3932" s="3"/>
      <c r="B3932" s="4"/>
      <c r="C3932" s="4"/>
      <c r="D3932" s="4"/>
      <c r="E3932" s="4"/>
      <c r="F3932" s="4"/>
      <c r="G3932" s="4"/>
      <c r="H3932" s="4"/>
      <c r="I3932" s="4"/>
      <c r="J3932" s="4"/>
      <c r="K3932" s="4"/>
      <c r="L3932" s="4"/>
      <c r="M3932" s="4"/>
      <c r="N3932" s="4"/>
      <c r="O3932" s="4"/>
      <c r="P3932" s="4"/>
      <c r="Q3932" s="4"/>
      <c r="R3932" s="4"/>
      <c r="S3932" s="4"/>
      <c r="T3932" s="4"/>
      <c r="U3932" s="4"/>
      <c r="V3932" s="4"/>
      <c r="W3932" s="4"/>
      <c r="X3932" s="4"/>
      <c r="Y3932" s="4"/>
      <c r="Z3932" s="4"/>
      <c r="AA3932" s="4"/>
      <c r="AB3932" s="5"/>
    </row>
    <row r="3933" spans="1:28" x14ac:dyDescent="0.35">
      <c r="A3933" s="3"/>
      <c r="B3933" s="4"/>
      <c r="C3933" s="4"/>
      <c r="D3933" s="4"/>
      <c r="E3933" s="4"/>
      <c r="F3933" s="4"/>
      <c r="G3933" s="4"/>
      <c r="H3933" s="4"/>
      <c r="I3933" s="4"/>
      <c r="J3933" s="4"/>
      <c r="K3933" s="4"/>
      <c r="L3933" s="4"/>
      <c r="M3933" s="4"/>
      <c r="N3933" s="4"/>
      <c r="O3933" s="4"/>
      <c r="P3933" s="4"/>
      <c r="Q3933" s="4"/>
      <c r="R3933" s="4"/>
      <c r="S3933" s="4"/>
      <c r="T3933" s="4"/>
      <c r="U3933" s="4"/>
      <c r="V3933" s="4"/>
      <c r="W3933" s="4"/>
      <c r="X3933" s="4"/>
      <c r="Y3933" s="4"/>
      <c r="Z3933" s="4"/>
      <c r="AA3933" s="4"/>
      <c r="AB3933" s="5"/>
    </row>
    <row r="3934" spans="1:28" x14ac:dyDescent="0.35">
      <c r="A3934" s="3"/>
      <c r="B3934" s="4"/>
      <c r="C3934" s="4"/>
      <c r="D3934" s="4"/>
      <c r="E3934" s="4"/>
      <c r="F3934" s="4"/>
      <c r="G3934" s="4"/>
      <c r="H3934" s="4"/>
      <c r="I3934" s="4"/>
      <c r="J3934" s="4"/>
      <c r="K3934" s="4"/>
      <c r="L3934" s="4"/>
      <c r="M3934" s="4"/>
      <c r="N3934" s="4"/>
      <c r="O3934" s="4"/>
      <c r="P3934" s="4"/>
      <c r="Q3934" s="4"/>
      <c r="R3934" s="4"/>
      <c r="S3934" s="4"/>
      <c r="T3934" s="4"/>
      <c r="U3934" s="4"/>
      <c r="V3934" s="4"/>
      <c r="W3934" s="4"/>
      <c r="X3934" s="4"/>
      <c r="Y3934" s="4"/>
      <c r="Z3934" s="4"/>
      <c r="AA3934" s="4"/>
      <c r="AB3934" s="5"/>
    </row>
    <row r="3935" spans="1:28" x14ac:dyDescent="0.35">
      <c r="A3935" s="3"/>
      <c r="B3935" s="4"/>
      <c r="C3935" s="4"/>
      <c r="D3935" s="4"/>
      <c r="E3935" s="4"/>
      <c r="F3935" s="4"/>
      <c r="G3935" s="4"/>
      <c r="H3935" s="4"/>
      <c r="I3935" s="4"/>
      <c r="J3935" s="4"/>
      <c r="K3935" s="4"/>
      <c r="L3935" s="4"/>
      <c r="M3935" s="4"/>
      <c r="N3935" s="4"/>
      <c r="O3935" s="4"/>
      <c r="P3935" s="4"/>
      <c r="Q3935" s="4"/>
      <c r="R3935" s="4"/>
      <c r="S3935" s="4"/>
      <c r="T3935" s="4"/>
      <c r="U3935" s="4"/>
      <c r="V3935" s="4"/>
      <c r="W3935" s="4"/>
      <c r="X3935" s="4"/>
      <c r="Y3935" s="4"/>
      <c r="Z3935" s="4"/>
      <c r="AA3935" s="4"/>
      <c r="AB3935" s="5"/>
    </row>
    <row r="3936" spans="1:28" x14ac:dyDescent="0.35">
      <c r="A3936" s="3"/>
      <c r="B3936" s="4"/>
      <c r="C3936" s="4"/>
      <c r="D3936" s="4"/>
      <c r="E3936" s="4"/>
      <c r="F3936" s="4"/>
      <c r="G3936" s="4"/>
      <c r="H3936" s="4"/>
      <c r="I3936" s="4"/>
      <c r="J3936" s="4"/>
      <c r="K3936" s="4"/>
      <c r="L3936" s="4"/>
      <c r="M3936" s="4"/>
      <c r="N3936" s="4"/>
      <c r="O3936" s="4"/>
      <c r="P3936" s="4"/>
      <c r="Q3936" s="4"/>
      <c r="R3936" s="4"/>
      <c r="S3936" s="4"/>
      <c r="T3936" s="4"/>
      <c r="U3936" s="4"/>
      <c r="V3936" s="4"/>
      <c r="W3936" s="4"/>
      <c r="X3936" s="4"/>
      <c r="Y3936" s="4"/>
      <c r="Z3936" s="4"/>
      <c r="AA3936" s="4"/>
      <c r="AB3936" s="5"/>
    </row>
    <row r="3937" spans="1:28" x14ac:dyDescent="0.35">
      <c r="A3937" s="3"/>
      <c r="B3937" s="4"/>
      <c r="C3937" s="4"/>
      <c r="D3937" s="4"/>
      <c r="E3937" s="4"/>
      <c r="F3937" s="4"/>
      <c r="G3937" s="4"/>
      <c r="H3937" s="4"/>
      <c r="I3937" s="4"/>
      <c r="J3937" s="4"/>
      <c r="K3937" s="4"/>
      <c r="L3937" s="4"/>
      <c r="M3937" s="4"/>
      <c r="N3937" s="4"/>
      <c r="O3937" s="4"/>
      <c r="P3937" s="4"/>
      <c r="Q3937" s="4"/>
      <c r="R3937" s="4"/>
      <c r="S3937" s="4"/>
      <c r="T3937" s="4"/>
      <c r="U3937" s="4"/>
      <c r="V3937" s="4"/>
      <c r="W3937" s="4"/>
      <c r="X3937" s="4"/>
      <c r="Y3937" s="4"/>
      <c r="Z3937" s="4"/>
      <c r="AA3937" s="4"/>
      <c r="AB3937" s="5"/>
    </row>
    <row r="3938" spans="1:28" x14ac:dyDescent="0.35">
      <c r="A3938" s="3"/>
      <c r="B3938" s="4"/>
      <c r="C3938" s="4"/>
      <c r="D3938" s="4"/>
      <c r="E3938" s="4"/>
      <c r="F3938" s="4"/>
      <c r="G3938" s="4"/>
      <c r="H3938" s="4"/>
      <c r="I3938" s="4"/>
      <c r="J3938" s="4"/>
      <c r="K3938" s="4"/>
      <c r="L3938" s="4"/>
      <c r="M3938" s="4"/>
      <c r="N3938" s="4"/>
      <c r="O3938" s="4"/>
      <c r="P3938" s="4"/>
      <c r="Q3938" s="4"/>
      <c r="R3938" s="4"/>
      <c r="S3938" s="4"/>
      <c r="T3938" s="4"/>
      <c r="U3938" s="4"/>
      <c r="V3938" s="4"/>
      <c r="W3938" s="4"/>
      <c r="X3938" s="4"/>
      <c r="Y3938" s="4"/>
      <c r="Z3938" s="4"/>
      <c r="AA3938" s="4"/>
      <c r="AB3938" s="5"/>
    </row>
    <row r="3939" spans="1:28" x14ac:dyDescent="0.35">
      <c r="A3939" s="3"/>
      <c r="B3939" s="4"/>
      <c r="C3939" s="4"/>
      <c r="D3939" s="4"/>
      <c r="E3939" s="4"/>
      <c r="F3939" s="4"/>
      <c r="G3939" s="4"/>
      <c r="H3939" s="4"/>
      <c r="I3939" s="4"/>
      <c r="J3939" s="4"/>
      <c r="K3939" s="4"/>
      <c r="L3939" s="4"/>
      <c r="M3939" s="4"/>
      <c r="N3939" s="4"/>
      <c r="O3939" s="4"/>
      <c r="P3939" s="4"/>
      <c r="Q3939" s="4"/>
      <c r="R3939" s="4"/>
      <c r="S3939" s="4"/>
      <c r="T3939" s="4"/>
      <c r="U3939" s="4"/>
      <c r="V3939" s="4"/>
      <c r="W3939" s="4"/>
      <c r="X3939" s="4"/>
      <c r="Y3939" s="4"/>
      <c r="Z3939" s="4"/>
      <c r="AA3939" s="4"/>
      <c r="AB3939" s="5"/>
    </row>
    <row r="3940" spans="1:28" x14ac:dyDescent="0.35">
      <c r="A3940" s="3"/>
      <c r="B3940" s="4"/>
      <c r="C3940" s="4"/>
      <c r="D3940" s="4"/>
      <c r="E3940" s="4"/>
      <c r="F3940" s="4"/>
      <c r="G3940" s="4"/>
      <c r="H3940" s="4"/>
      <c r="I3940" s="4"/>
      <c r="J3940" s="4"/>
      <c r="K3940" s="4"/>
      <c r="L3940" s="4"/>
      <c r="M3940" s="4"/>
      <c r="N3940" s="4"/>
      <c r="O3940" s="4"/>
      <c r="P3940" s="4"/>
      <c r="Q3940" s="4"/>
      <c r="R3940" s="4"/>
      <c r="S3940" s="4"/>
      <c r="T3940" s="4"/>
      <c r="U3940" s="4"/>
      <c r="V3940" s="4"/>
      <c r="W3940" s="4"/>
      <c r="X3940" s="4"/>
      <c r="Y3940" s="4"/>
      <c r="Z3940" s="4"/>
      <c r="AA3940" s="4"/>
      <c r="AB3940" s="5"/>
    </row>
    <row r="3941" spans="1:28" x14ac:dyDescent="0.35">
      <c r="A3941" s="3"/>
      <c r="B3941" s="4"/>
      <c r="C3941" s="4"/>
      <c r="D3941" s="4"/>
      <c r="E3941" s="4"/>
      <c r="F3941" s="4"/>
      <c r="G3941" s="4"/>
      <c r="H3941" s="4"/>
      <c r="I3941" s="4"/>
      <c r="J3941" s="4"/>
      <c r="K3941" s="4"/>
      <c r="L3941" s="4"/>
      <c r="M3941" s="4"/>
      <c r="N3941" s="4"/>
      <c r="O3941" s="4"/>
      <c r="P3941" s="4"/>
      <c r="Q3941" s="4"/>
      <c r="R3941" s="4"/>
      <c r="S3941" s="4"/>
      <c r="T3941" s="4"/>
      <c r="U3941" s="4"/>
      <c r="V3941" s="4"/>
      <c r="W3941" s="4"/>
      <c r="X3941" s="4"/>
      <c r="Y3941" s="4"/>
      <c r="Z3941" s="4"/>
      <c r="AA3941" s="4"/>
      <c r="AB3941" s="5"/>
    </row>
    <row r="3942" spans="1:28" x14ac:dyDescent="0.35">
      <c r="A3942" s="3"/>
      <c r="B3942" s="4"/>
      <c r="C3942" s="4"/>
      <c r="D3942" s="4"/>
      <c r="E3942" s="4"/>
      <c r="F3942" s="4"/>
      <c r="G3942" s="4"/>
      <c r="H3942" s="4"/>
      <c r="I3942" s="4"/>
      <c r="J3942" s="4"/>
      <c r="K3942" s="4"/>
      <c r="L3942" s="4"/>
      <c r="M3942" s="4"/>
      <c r="N3942" s="4"/>
      <c r="O3942" s="4"/>
      <c r="P3942" s="4"/>
      <c r="Q3942" s="4"/>
      <c r="R3942" s="4"/>
      <c r="S3942" s="4"/>
      <c r="T3942" s="4"/>
      <c r="U3942" s="4"/>
      <c r="V3942" s="4"/>
      <c r="W3942" s="4"/>
      <c r="X3942" s="4"/>
      <c r="Y3942" s="4"/>
      <c r="Z3942" s="4"/>
      <c r="AA3942" s="4"/>
      <c r="AB3942" s="5"/>
    </row>
    <row r="3943" spans="1:28" x14ac:dyDescent="0.35">
      <c r="A3943" s="3"/>
      <c r="B3943" s="4"/>
      <c r="C3943" s="4"/>
      <c r="D3943" s="4"/>
      <c r="E3943" s="4"/>
      <c r="F3943" s="4"/>
      <c r="G3943" s="4"/>
      <c r="H3943" s="4"/>
      <c r="I3943" s="4"/>
      <c r="J3943" s="4"/>
      <c r="K3943" s="4"/>
      <c r="L3943" s="4"/>
      <c r="M3943" s="4"/>
      <c r="N3943" s="4"/>
      <c r="O3943" s="4"/>
      <c r="P3943" s="4"/>
      <c r="Q3943" s="4"/>
      <c r="R3943" s="4"/>
      <c r="S3943" s="4"/>
      <c r="T3943" s="4"/>
      <c r="U3943" s="4"/>
      <c r="V3943" s="4"/>
      <c r="W3943" s="4"/>
      <c r="X3943" s="4"/>
      <c r="Y3943" s="4"/>
      <c r="Z3943" s="4"/>
      <c r="AA3943" s="4"/>
      <c r="AB3943" s="5"/>
    </row>
    <row r="3944" spans="1:28" x14ac:dyDescent="0.35">
      <c r="A3944" s="3"/>
      <c r="B3944" s="4"/>
      <c r="C3944" s="4"/>
      <c r="D3944" s="4"/>
      <c r="E3944" s="4"/>
      <c r="F3944" s="4"/>
      <c r="G3944" s="4"/>
      <c r="H3944" s="4"/>
      <c r="I3944" s="4"/>
      <c r="J3944" s="4"/>
      <c r="K3944" s="4"/>
      <c r="L3944" s="4"/>
      <c r="M3944" s="4"/>
      <c r="N3944" s="4"/>
      <c r="O3944" s="4"/>
      <c r="P3944" s="4"/>
      <c r="Q3944" s="4"/>
      <c r="R3944" s="4"/>
      <c r="S3944" s="4"/>
      <c r="T3944" s="4"/>
      <c r="U3944" s="4"/>
      <c r="V3944" s="4"/>
      <c r="W3944" s="4"/>
      <c r="X3944" s="4"/>
      <c r="Y3944" s="4"/>
      <c r="Z3944" s="4"/>
      <c r="AA3944" s="4"/>
      <c r="AB3944" s="5"/>
    </row>
    <row r="3945" spans="1:28" x14ac:dyDescent="0.35">
      <c r="A3945" s="3"/>
      <c r="B3945" s="4"/>
      <c r="C3945" s="4"/>
      <c r="D3945" s="4"/>
      <c r="E3945" s="4"/>
      <c r="F3945" s="4"/>
      <c r="G3945" s="4"/>
      <c r="H3945" s="4"/>
      <c r="I3945" s="4"/>
      <c r="J3945" s="4"/>
      <c r="K3945" s="4"/>
      <c r="L3945" s="4"/>
      <c r="M3945" s="4"/>
      <c r="N3945" s="4"/>
      <c r="O3945" s="4"/>
      <c r="P3945" s="4"/>
      <c r="Q3945" s="4"/>
      <c r="R3945" s="4"/>
      <c r="S3945" s="4"/>
      <c r="T3945" s="4"/>
      <c r="U3945" s="4"/>
      <c r="V3945" s="4"/>
      <c r="W3945" s="4"/>
      <c r="X3945" s="4"/>
      <c r="Y3945" s="4"/>
      <c r="Z3945" s="4"/>
      <c r="AA3945" s="4"/>
      <c r="AB3945" s="5"/>
    </row>
    <row r="3946" spans="1:28" x14ac:dyDescent="0.35">
      <c r="A3946" s="3"/>
      <c r="B3946" s="4"/>
      <c r="C3946" s="4"/>
      <c r="D3946" s="4"/>
      <c r="E3946" s="4"/>
      <c r="F3946" s="4"/>
      <c r="G3946" s="4"/>
      <c r="H3946" s="4"/>
      <c r="I3946" s="4"/>
      <c r="J3946" s="4"/>
      <c r="K3946" s="4"/>
      <c r="L3946" s="4"/>
      <c r="M3946" s="4"/>
      <c r="N3946" s="4"/>
      <c r="O3946" s="4"/>
      <c r="P3946" s="4"/>
      <c r="Q3946" s="4"/>
      <c r="R3946" s="4"/>
      <c r="S3946" s="4"/>
      <c r="T3946" s="4"/>
      <c r="U3946" s="4"/>
      <c r="V3946" s="4"/>
      <c r="W3946" s="4"/>
      <c r="X3946" s="4"/>
      <c r="Y3946" s="4"/>
      <c r="Z3946" s="4"/>
      <c r="AA3946" s="4"/>
      <c r="AB3946" s="5"/>
    </row>
    <row r="3947" spans="1:28" x14ac:dyDescent="0.35">
      <c r="A3947" s="3"/>
      <c r="B3947" s="4"/>
      <c r="C3947" s="4"/>
      <c r="D3947" s="4"/>
      <c r="E3947" s="4"/>
      <c r="F3947" s="4"/>
      <c r="G3947" s="4"/>
      <c r="H3947" s="4"/>
      <c r="I3947" s="4"/>
      <c r="J3947" s="4"/>
      <c r="K3947" s="4"/>
      <c r="L3947" s="4"/>
      <c r="M3947" s="4"/>
      <c r="N3947" s="4"/>
      <c r="O3947" s="4"/>
      <c r="P3947" s="4"/>
      <c r="Q3947" s="4"/>
      <c r="R3947" s="4"/>
      <c r="S3947" s="4"/>
      <c r="T3947" s="4"/>
      <c r="U3947" s="4"/>
      <c r="V3947" s="4"/>
      <c r="W3947" s="4"/>
      <c r="X3947" s="4"/>
      <c r="Y3947" s="4"/>
      <c r="Z3947" s="4"/>
      <c r="AA3947" s="4"/>
      <c r="AB3947" s="5"/>
    </row>
    <row r="3948" spans="1:28" x14ac:dyDescent="0.35">
      <c r="A3948" s="3"/>
      <c r="B3948" s="4"/>
      <c r="C3948" s="4"/>
      <c r="D3948" s="4"/>
      <c r="E3948" s="4"/>
      <c r="F3948" s="4"/>
      <c r="G3948" s="4"/>
      <c r="H3948" s="4"/>
      <c r="I3948" s="4"/>
      <c r="J3948" s="4"/>
      <c r="K3948" s="4"/>
      <c r="L3948" s="4"/>
      <c r="M3948" s="4"/>
      <c r="N3948" s="4"/>
      <c r="O3948" s="4"/>
      <c r="P3948" s="4"/>
      <c r="Q3948" s="4"/>
      <c r="R3948" s="4"/>
      <c r="S3948" s="4"/>
      <c r="T3948" s="4"/>
      <c r="U3948" s="4"/>
      <c r="V3948" s="4"/>
      <c r="W3948" s="4"/>
      <c r="X3948" s="4"/>
      <c r="Y3948" s="4"/>
      <c r="Z3948" s="4"/>
      <c r="AA3948" s="4"/>
      <c r="AB3948" s="5"/>
    </row>
    <row r="3949" spans="1:28" x14ac:dyDescent="0.35">
      <c r="A3949" s="3"/>
      <c r="B3949" s="4"/>
      <c r="C3949" s="4"/>
      <c r="D3949" s="4"/>
      <c r="E3949" s="4"/>
      <c r="F3949" s="4"/>
      <c r="G3949" s="4"/>
      <c r="H3949" s="4"/>
      <c r="I3949" s="4"/>
      <c r="J3949" s="4"/>
      <c r="K3949" s="4"/>
      <c r="L3949" s="4"/>
      <c r="M3949" s="4"/>
      <c r="N3949" s="4"/>
      <c r="O3949" s="4"/>
      <c r="P3949" s="4"/>
      <c r="Q3949" s="4"/>
      <c r="R3949" s="4"/>
      <c r="S3949" s="4"/>
      <c r="T3949" s="4"/>
      <c r="U3949" s="4"/>
      <c r="V3949" s="4"/>
      <c r="W3949" s="4"/>
      <c r="X3949" s="4"/>
      <c r="Y3949" s="4"/>
      <c r="Z3949" s="4"/>
      <c r="AA3949" s="4"/>
      <c r="AB3949" s="5"/>
    </row>
    <row r="3950" spans="1:28" x14ac:dyDescent="0.35">
      <c r="A3950" s="3"/>
      <c r="B3950" s="4"/>
      <c r="C3950" s="4"/>
      <c r="D3950" s="4"/>
      <c r="E3950" s="4"/>
      <c r="F3950" s="4"/>
      <c r="G3950" s="4"/>
      <c r="H3950" s="4"/>
      <c r="I3950" s="4"/>
      <c r="J3950" s="4"/>
      <c r="K3950" s="4"/>
      <c r="L3950" s="4"/>
      <c r="M3950" s="4"/>
      <c r="N3950" s="4"/>
      <c r="O3950" s="4"/>
      <c r="P3950" s="4"/>
      <c r="Q3950" s="4"/>
      <c r="R3950" s="4"/>
      <c r="S3950" s="4"/>
      <c r="T3950" s="4"/>
      <c r="U3950" s="4"/>
      <c r="V3950" s="4"/>
      <c r="W3950" s="4"/>
      <c r="X3950" s="4"/>
      <c r="Y3950" s="4"/>
      <c r="Z3950" s="4"/>
      <c r="AA3950" s="4"/>
      <c r="AB3950" s="5"/>
    </row>
    <row r="3951" spans="1:28" x14ac:dyDescent="0.35">
      <c r="A3951" s="3"/>
      <c r="B3951" s="4"/>
      <c r="C3951" s="4"/>
      <c r="D3951" s="4"/>
      <c r="E3951" s="4"/>
      <c r="F3951" s="4"/>
      <c r="G3951" s="4"/>
      <c r="H3951" s="4"/>
      <c r="I3951" s="4"/>
      <c r="J3951" s="4"/>
      <c r="K3951" s="4"/>
      <c r="L3951" s="4"/>
      <c r="M3951" s="4"/>
      <c r="N3951" s="4"/>
      <c r="O3951" s="4"/>
      <c r="P3951" s="4"/>
      <c r="Q3951" s="4"/>
      <c r="R3951" s="4"/>
      <c r="S3951" s="4"/>
      <c r="T3951" s="4"/>
      <c r="U3951" s="4"/>
      <c r="V3951" s="4"/>
      <c r="W3951" s="4"/>
      <c r="X3951" s="4"/>
      <c r="Y3951" s="4"/>
      <c r="Z3951" s="4"/>
      <c r="AA3951" s="4"/>
      <c r="AB3951" s="5"/>
    </row>
    <row r="3952" spans="1:28" x14ac:dyDescent="0.35">
      <c r="A3952" s="3"/>
      <c r="B3952" s="4"/>
      <c r="C3952" s="4"/>
      <c r="D3952" s="4"/>
      <c r="E3952" s="4"/>
      <c r="F3952" s="4"/>
      <c r="G3952" s="4"/>
      <c r="H3952" s="4"/>
      <c r="I3952" s="4"/>
      <c r="J3952" s="4"/>
      <c r="K3952" s="4"/>
      <c r="L3952" s="4"/>
      <c r="M3952" s="4"/>
      <c r="N3952" s="4"/>
      <c r="O3952" s="4"/>
      <c r="P3952" s="4"/>
      <c r="Q3952" s="4"/>
      <c r="R3952" s="4"/>
      <c r="S3952" s="4"/>
      <c r="T3952" s="4"/>
      <c r="U3952" s="4"/>
      <c r="V3952" s="4"/>
      <c r="W3952" s="4"/>
      <c r="X3952" s="4"/>
      <c r="Y3952" s="4"/>
      <c r="Z3952" s="4"/>
      <c r="AA3952" s="4"/>
      <c r="AB3952" s="5"/>
    </row>
    <row r="3953" spans="1:28" x14ac:dyDescent="0.35">
      <c r="A3953" s="3"/>
      <c r="B3953" s="4"/>
      <c r="C3953" s="4"/>
      <c r="D3953" s="4"/>
      <c r="E3953" s="4"/>
      <c r="F3953" s="4"/>
      <c r="G3953" s="4"/>
      <c r="H3953" s="4"/>
      <c r="I3953" s="4"/>
      <c r="J3953" s="4"/>
      <c r="K3953" s="4"/>
      <c r="L3953" s="4"/>
      <c r="M3953" s="4"/>
      <c r="N3953" s="4"/>
      <c r="O3953" s="4"/>
      <c r="P3953" s="4"/>
      <c r="Q3953" s="4"/>
      <c r="R3953" s="4"/>
      <c r="S3953" s="4"/>
      <c r="T3953" s="4"/>
      <c r="U3953" s="4"/>
      <c r="V3953" s="4"/>
      <c r="W3953" s="4"/>
      <c r="X3953" s="4"/>
      <c r="Y3953" s="4"/>
      <c r="Z3953" s="4"/>
      <c r="AA3953" s="4"/>
      <c r="AB3953" s="5"/>
    </row>
    <row r="3954" spans="1:28" x14ac:dyDescent="0.35">
      <c r="A3954" s="3"/>
      <c r="B3954" s="4"/>
      <c r="C3954" s="4"/>
      <c r="D3954" s="4"/>
      <c r="E3954" s="4"/>
      <c r="F3954" s="4"/>
      <c r="G3954" s="4"/>
      <c r="H3954" s="4"/>
      <c r="I3954" s="4"/>
      <c r="J3954" s="4"/>
      <c r="K3954" s="4"/>
      <c r="L3954" s="4"/>
      <c r="M3954" s="4"/>
      <c r="N3954" s="4"/>
      <c r="O3954" s="4"/>
      <c r="P3954" s="4"/>
      <c r="Q3954" s="4"/>
      <c r="R3954" s="4"/>
      <c r="S3954" s="4"/>
      <c r="T3954" s="4"/>
      <c r="U3954" s="4"/>
      <c r="V3954" s="4"/>
      <c r="W3954" s="4"/>
      <c r="X3954" s="4"/>
      <c r="Y3954" s="4"/>
      <c r="Z3954" s="4"/>
      <c r="AA3954" s="4"/>
      <c r="AB3954" s="5"/>
    </row>
    <row r="3955" spans="1:28" x14ac:dyDescent="0.35">
      <c r="A3955" s="3"/>
      <c r="B3955" s="4"/>
      <c r="C3955" s="4"/>
      <c r="D3955" s="4"/>
      <c r="E3955" s="4"/>
      <c r="F3955" s="4"/>
      <c r="G3955" s="4"/>
      <c r="H3955" s="4"/>
      <c r="I3955" s="4"/>
      <c r="J3955" s="4"/>
      <c r="K3955" s="4"/>
      <c r="L3955" s="4"/>
      <c r="M3955" s="4"/>
      <c r="N3955" s="4"/>
      <c r="O3955" s="4"/>
      <c r="P3955" s="4"/>
      <c r="Q3955" s="4"/>
      <c r="R3955" s="4"/>
      <c r="S3955" s="4"/>
      <c r="T3955" s="4"/>
      <c r="U3955" s="4"/>
      <c r="V3955" s="4"/>
      <c r="W3955" s="4"/>
      <c r="X3955" s="4"/>
      <c r="Y3955" s="4"/>
      <c r="Z3955" s="4"/>
      <c r="AA3955" s="4"/>
      <c r="AB3955" s="5"/>
    </row>
    <row r="3956" spans="1:28" x14ac:dyDescent="0.35">
      <c r="A3956" s="3"/>
      <c r="B3956" s="4"/>
      <c r="C3956" s="4"/>
      <c r="D3956" s="4"/>
      <c r="E3956" s="4"/>
      <c r="F3956" s="4"/>
      <c r="G3956" s="4"/>
      <c r="H3956" s="4"/>
      <c r="I3956" s="4"/>
      <c r="J3956" s="4"/>
      <c r="K3956" s="4"/>
      <c r="L3956" s="4"/>
      <c r="M3956" s="4"/>
      <c r="N3956" s="4"/>
      <c r="O3956" s="4"/>
      <c r="P3956" s="4"/>
      <c r="Q3956" s="4"/>
      <c r="R3956" s="4"/>
      <c r="S3956" s="4"/>
      <c r="T3956" s="4"/>
      <c r="U3956" s="4"/>
      <c r="V3956" s="4"/>
      <c r="W3956" s="4"/>
      <c r="X3956" s="4"/>
      <c r="Y3956" s="4"/>
      <c r="Z3956" s="4"/>
      <c r="AA3956" s="4"/>
      <c r="AB3956" s="5"/>
    </row>
    <row r="3957" spans="1:28" x14ac:dyDescent="0.35">
      <c r="A3957" s="3"/>
      <c r="B3957" s="4"/>
      <c r="C3957" s="4"/>
      <c r="D3957" s="4"/>
      <c r="E3957" s="4"/>
      <c r="F3957" s="4"/>
      <c r="G3957" s="4"/>
      <c r="H3957" s="4"/>
      <c r="I3957" s="4"/>
      <c r="J3957" s="4"/>
      <c r="K3957" s="4"/>
      <c r="L3957" s="4"/>
      <c r="M3957" s="4"/>
      <c r="N3957" s="4"/>
      <c r="O3957" s="4"/>
      <c r="P3957" s="4"/>
      <c r="Q3957" s="4"/>
      <c r="R3957" s="4"/>
      <c r="S3957" s="4"/>
      <c r="T3957" s="4"/>
      <c r="U3957" s="4"/>
      <c r="V3957" s="4"/>
      <c r="W3957" s="4"/>
      <c r="X3957" s="4"/>
      <c r="Y3957" s="4"/>
      <c r="Z3957" s="4"/>
      <c r="AA3957" s="4"/>
      <c r="AB3957" s="5"/>
    </row>
    <row r="3958" spans="1:28" x14ac:dyDescent="0.35">
      <c r="A3958" s="3"/>
      <c r="B3958" s="4"/>
      <c r="C3958" s="4"/>
      <c r="D3958" s="4"/>
      <c r="E3958" s="4"/>
      <c r="F3958" s="4"/>
      <c r="G3958" s="4"/>
      <c r="H3958" s="4"/>
      <c r="I3958" s="4"/>
      <c r="J3958" s="4"/>
      <c r="K3958" s="4"/>
      <c r="L3958" s="4"/>
      <c r="M3958" s="4"/>
      <c r="N3958" s="4"/>
      <c r="O3958" s="4"/>
      <c r="P3958" s="4"/>
      <c r="Q3958" s="4"/>
      <c r="R3958" s="4"/>
      <c r="S3958" s="4"/>
      <c r="T3958" s="4"/>
      <c r="U3958" s="4"/>
      <c r="V3958" s="4"/>
      <c r="W3958" s="4"/>
      <c r="X3958" s="4"/>
      <c r="Y3958" s="4"/>
      <c r="Z3958" s="4"/>
      <c r="AA3958" s="4"/>
      <c r="AB3958" s="5"/>
    </row>
    <row r="3959" spans="1:28" x14ac:dyDescent="0.35">
      <c r="A3959" s="3"/>
      <c r="B3959" s="4"/>
      <c r="C3959" s="4"/>
      <c r="D3959" s="4"/>
      <c r="E3959" s="4"/>
      <c r="F3959" s="4"/>
      <c r="G3959" s="4"/>
      <c r="H3959" s="4"/>
      <c r="I3959" s="4"/>
      <c r="J3959" s="4"/>
      <c r="K3959" s="4"/>
      <c r="L3959" s="4"/>
      <c r="M3959" s="4"/>
      <c r="N3959" s="4"/>
      <c r="O3959" s="4"/>
      <c r="P3959" s="4"/>
      <c r="Q3959" s="4"/>
      <c r="R3959" s="4"/>
      <c r="S3959" s="4"/>
      <c r="T3959" s="4"/>
      <c r="U3959" s="4"/>
      <c r="V3959" s="4"/>
      <c r="W3959" s="4"/>
      <c r="X3959" s="4"/>
      <c r="Y3959" s="4"/>
      <c r="Z3959" s="4"/>
      <c r="AA3959" s="4"/>
      <c r="AB3959" s="5"/>
    </row>
    <row r="3960" spans="1:28" x14ac:dyDescent="0.35">
      <c r="A3960" s="3"/>
      <c r="B3960" s="4"/>
      <c r="C3960" s="4"/>
      <c r="D3960" s="4"/>
      <c r="E3960" s="4"/>
      <c r="F3960" s="4"/>
      <c r="G3960" s="4"/>
      <c r="H3960" s="4"/>
      <c r="I3960" s="4"/>
      <c r="J3960" s="4"/>
      <c r="K3960" s="4"/>
      <c r="L3960" s="4"/>
      <c r="M3960" s="4"/>
      <c r="N3960" s="4"/>
      <c r="O3960" s="4"/>
      <c r="P3960" s="4"/>
      <c r="Q3960" s="4"/>
      <c r="R3960" s="4"/>
      <c r="S3960" s="4"/>
      <c r="T3960" s="4"/>
      <c r="U3960" s="4"/>
      <c r="V3960" s="4"/>
      <c r="W3960" s="4"/>
      <c r="X3960" s="4"/>
      <c r="Y3960" s="4"/>
      <c r="Z3960" s="4"/>
      <c r="AA3960" s="4"/>
      <c r="AB3960" s="5"/>
    </row>
    <row r="3961" spans="1:28" x14ac:dyDescent="0.35">
      <c r="A3961" s="3"/>
      <c r="B3961" s="4"/>
      <c r="C3961" s="4"/>
      <c r="D3961" s="4"/>
      <c r="E3961" s="4"/>
      <c r="F3961" s="4"/>
      <c r="G3961" s="4"/>
      <c r="H3961" s="4"/>
      <c r="I3961" s="4"/>
      <c r="J3961" s="4"/>
      <c r="K3961" s="4"/>
      <c r="L3961" s="4"/>
      <c r="M3961" s="4"/>
      <c r="N3961" s="4"/>
      <c r="O3961" s="4"/>
      <c r="P3961" s="4"/>
      <c r="Q3961" s="4"/>
      <c r="R3961" s="4"/>
      <c r="S3961" s="4"/>
      <c r="T3961" s="4"/>
      <c r="U3961" s="4"/>
      <c r="V3961" s="4"/>
      <c r="W3961" s="4"/>
      <c r="X3961" s="4"/>
      <c r="Y3961" s="4"/>
      <c r="Z3961" s="4"/>
      <c r="AA3961" s="4"/>
      <c r="AB3961" s="5"/>
    </row>
    <row r="3962" spans="1:28" x14ac:dyDescent="0.35">
      <c r="A3962" s="3"/>
      <c r="B3962" s="4"/>
      <c r="C3962" s="4"/>
      <c r="D3962" s="4"/>
      <c r="E3962" s="4"/>
      <c r="F3962" s="4"/>
      <c r="G3962" s="4"/>
      <c r="H3962" s="4"/>
      <c r="I3962" s="4"/>
      <c r="J3962" s="4"/>
      <c r="K3962" s="4"/>
      <c r="L3962" s="4"/>
      <c r="M3962" s="4"/>
      <c r="N3962" s="4"/>
      <c r="O3962" s="4"/>
      <c r="P3962" s="4"/>
      <c r="Q3962" s="4"/>
      <c r="R3962" s="4"/>
      <c r="S3962" s="4"/>
      <c r="T3962" s="4"/>
      <c r="U3962" s="4"/>
      <c r="V3962" s="4"/>
      <c r="W3962" s="4"/>
      <c r="X3962" s="4"/>
      <c r="Y3962" s="4"/>
      <c r="Z3962" s="4"/>
      <c r="AA3962" s="4"/>
      <c r="AB3962" s="5"/>
    </row>
    <row r="3963" spans="1:28" x14ac:dyDescent="0.35">
      <c r="A3963" s="3"/>
      <c r="B3963" s="4"/>
      <c r="C3963" s="4"/>
      <c r="D3963" s="4"/>
      <c r="E3963" s="4"/>
      <c r="F3963" s="4"/>
      <c r="G3963" s="4"/>
      <c r="H3963" s="4"/>
      <c r="I3963" s="4"/>
      <c r="J3963" s="4"/>
      <c r="K3963" s="4"/>
      <c r="L3963" s="4"/>
      <c r="M3963" s="4"/>
      <c r="N3963" s="4"/>
      <c r="O3963" s="4"/>
      <c r="P3963" s="4"/>
      <c r="Q3963" s="4"/>
      <c r="R3963" s="4"/>
      <c r="S3963" s="4"/>
      <c r="T3963" s="4"/>
      <c r="U3963" s="4"/>
      <c r="V3963" s="4"/>
      <c r="W3963" s="4"/>
      <c r="X3963" s="4"/>
      <c r="Y3963" s="4"/>
      <c r="Z3963" s="4"/>
      <c r="AA3963" s="4"/>
      <c r="AB3963" s="5"/>
    </row>
    <row r="3964" spans="1:28" x14ac:dyDescent="0.35">
      <c r="A3964" s="3"/>
      <c r="B3964" s="4"/>
      <c r="C3964" s="4"/>
      <c r="D3964" s="4"/>
      <c r="E3964" s="4"/>
      <c r="F3964" s="4"/>
      <c r="G3964" s="4"/>
      <c r="H3964" s="4"/>
      <c r="I3964" s="4"/>
      <c r="J3964" s="4"/>
      <c r="K3964" s="4"/>
      <c r="L3964" s="4"/>
      <c r="M3964" s="4"/>
      <c r="N3964" s="4"/>
      <c r="O3964" s="4"/>
      <c r="P3964" s="4"/>
      <c r="Q3964" s="4"/>
      <c r="R3964" s="4"/>
      <c r="S3964" s="4"/>
      <c r="T3964" s="4"/>
      <c r="U3964" s="4"/>
      <c r="V3964" s="4"/>
      <c r="W3964" s="4"/>
      <c r="X3964" s="4"/>
      <c r="Y3964" s="4"/>
      <c r="Z3964" s="4"/>
      <c r="AA3964" s="4"/>
      <c r="AB3964" s="5"/>
    </row>
    <row r="3965" spans="1:28" x14ac:dyDescent="0.35">
      <c r="A3965" s="3"/>
      <c r="B3965" s="4"/>
      <c r="C3965" s="4"/>
      <c r="D3965" s="4"/>
      <c r="E3965" s="4"/>
      <c r="F3965" s="4"/>
      <c r="G3965" s="4"/>
      <c r="H3965" s="4"/>
      <c r="I3965" s="4"/>
      <c r="J3965" s="4"/>
      <c r="K3965" s="4"/>
      <c r="L3965" s="4"/>
      <c r="M3965" s="4"/>
      <c r="N3965" s="4"/>
      <c r="O3965" s="4"/>
      <c r="P3965" s="4"/>
      <c r="Q3965" s="4"/>
      <c r="R3965" s="4"/>
      <c r="S3965" s="4"/>
      <c r="T3965" s="4"/>
      <c r="U3965" s="4"/>
      <c r="V3965" s="4"/>
      <c r="W3965" s="4"/>
      <c r="X3965" s="4"/>
      <c r="Y3965" s="4"/>
      <c r="Z3965" s="4"/>
      <c r="AA3965" s="4"/>
      <c r="AB3965" s="5"/>
    </row>
    <row r="3966" spans="1:28" x14ac:dyDescent="0.35">
      <c r="A3966" s="3"/>
      <c r="B3966" s="4"/>
      <c r="C3966" s="4"/>
      <c r="D3966" s="4"/>
      <c r="E3966" s="4"/>
      <c r="F3966" s="4"/>
      <c r="G3966" s="4"/>
      <c r="H3966" s="4"/>
      <c r="I3966" s="4"/>
      <c r="J3966" s="4"/>
      <c r="K3966" s="4"/>
      <c r="L3966" s="4"/>
      <c r="M3966" s="4"/>
      <c r="N3966" s="4"/>
      <c r="O3966" s="4"/>
      <c r="P3966" s="4"/>
      <c r="Q3966" s="4"/>
      <c r="R3966" s="4"/>
      <c r="S3966" s="4"/>
      <c r="T3966" s="4"/>
      <c r="U3966" s="4"/>
      <c r="V3966" s="4"/>
      <c r="W3966" s="4"/>
      <c r="X3966" s="4"/>
      <c r="Y3966" s="4"/>
      <c r="Z3966" s="4"/>
      <c r="AA3966" s="4"/>
      <c r="AB3966" s="5"/>
    </row>
    <row r="3967" spans="1:28" x14ac:dyDescent="0.35">
      <c r="A3967" s="3"/>
      <c r="B3967" s="4"/>
      <c r="C3967" s="4"/>
      <c r="D3967" s="4"/>
      <c r="E3967" s="4"/>
      <c r="F3967" s="4"/>
      <c r="G3967" s="4"/>
      <c r="H3967" s="4"/>
      <c r="I3967" s="4"/>
      <c r="J3967" s="4"/>
      <c r="K3967" s="4"/>
      <c r="L3967" s="4"/>
      <c r="M3967" s="4"/>
      <c r="N3967" s="4"/>
      <c r="O3967" s="4"/>
      <c r="P3967" s="4"/>
      <c r="Q3967" s="4"/>
      <c r="R3967" s="4"/>
      <c r="S3967" s="4"/>
      <c r="T3967" s="4"/>
      <c r="U3967" s="4"/>
      <c r="V3967" s="4"/>
      <c r="W3967" s="4"/>
      <c r="X3967" s="4"/>
      <c r="Y3967" s="4"/>
      <c r="Z3967" s="4"/>
      <c r="AA3967" s="4"/>
      <c r="AB3967" s="5"/>
    </row>
    <row r="3968" spans="1:28" x14ac:dyDescent="0.35">
      <c r="A3968" s="3"/>
      <c r="B3968" s="4"/>
      <c r="C3968" s="4"/>
      <c r="D3968" s="4"/>
      <c r="E3968" s="4"/>
      <c r="F3968" s="4"/>
      <c r="G3968" s="4"/>
      <c r="H3968" s="4"/>
      <c r="I3968" s="4"/>
      <c r="J3968" s="4"/>
      <c r="K3968" s="4"/>
      <c r="L3968" s="4"/>
      <c r="M3968" s="4"/>
      <c r="N3968" s="4"/>
      <c r="O3968" s="4"/>
      <c r="P3968" s="4"/>
      <c r="Q3968" s="4"/>
      <c r="R3968" s="4"/>
      <c r="S3968" s="4"/>
      <c r="T3968" s="4"/>
      <c r="U3968" s="4"/>
      <c r="V3968" s="4"/>
      <c r="W3968" s="4"/>
      <c r="X3968" s="4"/>
      <c r="Y3968" s="4"/>
      <c r="Z3968" s="4"/>
      <c r="AA3968" s="4"/>
      <c r="AB3968" s="5"/>
    </row>
    <row r="3969" spans="1:28" x14ac:dyDescent="0.35">
      <c r="A3969" s="6"/>
      <c r="B3969" s="7"/>
      <c r="C3969" s="7"/>
      <c r="D3969" s="7"/>
      <c r="E3969" s="7"/>
      <c r="F3969" s="7"/>
      <c r="G3969" s="7"/>
      <c r="H3969" s="7"/>
      <c r="I3969" s="7"/>
      <c r="J3969" s="7"/>
      <c r="K3969" s="7"/>
      <c r="L3969" s="7"/>
      <c r="M3969" s="7"/>
      <c r="N3969" s="7"/>
      <c r="O3969" s="7"/>
      <c r="P3969" s="7"/>
      <c r="Q3969" s="7"/>
      <c r="R3969" s="7"/>
      <c r="S3969" s="7"/>
      <c r="T3969" s="7"/>
      <c r="U3969" s="7"/>
      <c r="V3969" s="7"/>
      <c r="W3969" s="7"/>
      <c r="X3969" s="7"/>
      <c r="Y3969" s="7"/>
      <c r="Z3969" s="7"/>
      <c r="AA3969" s="7"/>
      <c r="AB3969" s="8"/>
    </row>
  </sheetData>
  <mergeCells count="1">
    <mergeCell ref="G1:I1"/>
  </mergeCells>
  <conditionalFormatting sqref="P2">
    <cfRule type="containsErrors" dxfId="32" priority="1">
      <formula>ISERROR(P2)</formula>
    </cfRule>
    <cfRule type="cellIs" dxfId="31" priority="2" operator="equal">
      <formula>0</formula>
    </cfRule>
    <cfRule type="cellIs" dxfId="30" priority="3" operator="equal">
      <formula>25</formula>
    </cfRule>
    <cfRule type="cellIs" dxfId="29" priority="4" operator="between">
      <formula>15</formula>
      <formula>20</formula>
    </cfRule>
    <cfRule type="cellIs" dxfId="28" priority="5" operator="between">
      <formula>8</formula>
      <formula>12</formula>
    </cfRule>
    <cfRule type="cellIs" dxfId="27" priority="6" operator="between">
      <formula>4</formula>
      <formula>6</formula>
    </cfRule>
    <cfRule type="cellIs" dxfId="26" priority="7" operator="between">
      <formula>1</formula>
      <formula>3</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ACE3B-40C4-4462-B20D-0B41BF523589}">
  <dimension ref="A1:X5"/>
  <sheetViews>
    <sheetView tabSelected="1" topLeftCell="L1" zoomScale="70" zoomScaleNormal="70" workbookViewId="0">
      <pane ySplit="1" topLeftCell="A3" activePane="bottomLeft" state="frozen"/>
      <selection pane="bottomLeft" activeCell="P3" sqref="P3"/>
    </sheetView>
  </sheetViews>
  <sheetFormatPr defaultColWidth="8.81640625" defaultRowHeight="14.5" x14ac:dyDescent="0.35"/>
  <cols>
    <col min="1" max="1" width="28.54296875" customWidth="1"/>
    <col min="2" max="2" width="25.1796875" customWidth="1"/>
    <col min="3" max="3" width="24.81640625" customWidth="1"/>
    <col min="4" max="4" width="15.54296875" customWidth="1"/>
    <col min="5" max="5" width="36" customWidth="1"/>
    <col min="6" max="6" width="66.81640625" customWidth="1"/>
    <col min="7" max="7" width="19.81640625" customWidth="1"/>
    <col min="8" max="9" width="15.54296875" customWidth="1"/>
    <col min="10" max="10" width="20.54296875" customWidth="1"/>
    <col min="11" max="11" width="61.54296875" customWidth="1"/>
    <col min="12" max="12" width="33.1796875" customWidth="1"/>
    <col min="13" max="13" width="23.453125" customWidth="1"/>
    <col min="14" max="15" width="15.54296875" customWidth="1"/>
    <col min="16" max="16" width="17.453125" customWidth="1"/>
    <col min="17" max="17" width="20.1796875" customWidth="1"/>
    <col min="18" max="18" width="72.1796875" customWidth="1"/>
    <col min="19" max="19" width="25.81640625" customWidth="1"/>
    <col min="20" max="20" width="19.54296875" customWidth="1"/>
    <col min="21" max="21" width="42.54296875" customWidth="1"/>
    <col min="22" max="22" width="23.54296875" customWidth="1"/>
    <col min="23" max="23" width="60.1796875" customWidth="1"/>
    <col min="24" max="24" width="46.1796875" customWidth="1"/>
  </cols>
  <sheetData>
    <row r="1" spans="1:24" x14ac:dyDescent="0.35">
      <c r="G1" s="244" t="s">
        <v>134</v>
      </c>
      <c r="H1" s="244"/>
      <c r="I1" s="244"/>
      <c r="M1" s="88"/>
      <c r="N1" s="88"/>
      <c r="O1" s="88"/>
      <c r="P1" s="88"/>
      <c r="Q1" s="88"/>
    </row>
    <row r="2" spans="1:24" s="1" customFormat="1" ht="71.5" customHeight="1" x14ac:dyDescent="0.35">
      <c r="A2" s="150" t="s">
        <v>124</v>
      </c>
      <c r="B2" s="89" t="s">
        <v>256</v>
      </c>
      <c r="C2" s="89" t="s">
        <v>145</v>
      </c>
      <c r="D2" s="89" t="s">
        <v>257</v>
      </c>
      <c r="E2" s="89" t="s">
        <v>258</v>
      </c>
      <c r="F2" s="151" t="s">
        <v>259</v>
      </c>
      <c r="G2" s="151" t="s">
        <v>13</v>
      </c>
      <c r="H2" s="151" t="s">
        <v>153</v>
      </c>
      <c r="I2" s="89" t="s">
        <v>149</v>
      </c>
      <c r="J2" s="89" t="s">
        <v>128</v>
      </c>
      <c r="K2" s="89" t="s">
        <v>150</v>
      </c>
      <c r="L2" s="89" t="s">
        <v>260</v>
      </c>
      <c r="M2" s="89" t="s">
        <v>261</v>
      </c>
      <c r="N2" s="89" t="s">
        <v>262</v>
      </c>
      <c r="O2" s="89" t="s">
        <v>250</v>
      </c>
      <c r="P2" s="152" t="s">
        <v>263</v>
      </c>
      <c r="Q2" s="153" t="s">
        <v>264</v>
      </c>
      <c r="R2" s="89" t="s">
        <v>265</v>
      </c>
      <c r="S2" s="157" t="s">
        <v>25</v>
      </c>
      <c r="T2" s="158" t="s">
        <v>107</v>
      </c>
      <c r="U2" s="159" t="s">
        <v>266</v>
      </c>
      <c r="V2" s="154" t="s">
        <v>267</v>
      </c>
      <c r="W2" s="151" t="s">
        <v>268</v>
      </c>
      <c r="X2" s="155" t="s">
        <v>269</v>
      </c>
    </row>
    <row r="3" spans="1:24" s="76" customFormat="1" ht="275.5" x14ac:dyDescent="0.35">
      <c r="A3" s="3" t="str">
        <f>VLOOKUP("*il17*",'[1]14. Issues Log'!$A$2:$ZZ$4999,1,FALSE)</f>
        <v>IL17</v>
      </c>
      <c r="B3" s="4" t="str">
        <f>VLOOKUP("*il17*",'[1]14. Issues Log'!$A$2:$ZZ$4999,2,FALSE)</f>
        <v>ICB</v>
      </c>
      <c r="C3" s="4" t="str">
        <f>VLOOKUP("*il17*",'[1]14. Issues Log'!$A$2:$ZZ$4999,3,FALSE)</f>
        <v>5, 6, 8</v>
      </c>
      <c r="D3" s="4">
        <f>VLOOKUP("*il17*",'[1]14. Issues Log'!$A$2:$ZZ$4999,4,FALSE)</f>
        <v>2.12</v>
      </c>
      <c r="E3" s="4" t="str">
        <f>VLOOKUP("*il17*",'[1]14. Issues Log'!$A$2:$ZZ$4999,5,FALSE)</f>
        <v xml:space="preserve">SY127, </v>
      </c>
      <c r="F3" s="4" t="str">
        <f>VLOOKUP("*il17*",'[1]14. Issues Log'!$A$2:$ZZ$4999,6,FALSE)</f>
        <v>Continuing Health Care (CHC) - Current risk across ICB is in relation to capacity to deliver statutory requirements identified within the CHC Framework. This is caused by recruitment and retention issues.  This results in a potential delay for patients and reduced quality of care.</v>
      </c>
      <c r="G3" s="4">
        <f>VLOOKUP("*il17*",'[1]14. Issues Log'!$A$2:$ZZ$4999,7,FALSE)</f>
        <v>3</v>
      </c>
      <c r="H3" s="156">
        <f>VLOOKUP("*il17*",'[1]14. Issues Log'!$A$2:$ZZ$4999,8,FALSE)</f>
        <v>4</v>
      </c>
      <c r="I3" s="74">
        <f>VLOOKUP("*il17*",'[1]14. Issues Log'!$A$2:$ZZ$4999,9,FALSE)</f>
        <v>12</v>
      </c>
      <c r="J3" s="4" t="str">
        <f>VLOOKUP("*il17*",'[1]14. Issues Log'!$A$2:$ZZ$4999,10,FALSE)</f>
        <v>Responsible</v>
      </c>
      <c r="K3" s="4" t="str">
        <f>VLOOKUP("*il17*",'[1]14. Issues Log'!$A$2:$ZZ$4999,11,FALSE)</f>
        <v xml:space="preserve">
1)Operating Model across all 4 places is embedded
2)Ongoing process in place to consider any CHC capacity gaps and ensuring we have flexible use of resources/vacancies across the teams, throughout 2025/6
3)Workforce gaps continue to be monitored and mitigated where appropriate with agency staff although this is not mitigating all risk. 
4)Ongoing work in relation to organisational change and uncertainty is contributing to challenge. 
5) Consideration of appointment processes for Business Critical Posts to be considered by the Executives whilst waiting for organisational Change process to be clarified and undertaken.
6) External providers being commissioned through a Proof of Concept process to see if additional capacity can be secured with appropriate levels of Quality and Financial efficiencies.</v>
      </c>
      <c r="L3" s="4" t="str">
        <f>VLOOKUP("*il17*",'[1]14. Issues Log'!$A$2:$ZZ$4999,12,FALSE)</f>
        <v>Cathy Winfield
Chief Nursing Officer</v>
      </c>
      <c r="M3" s="4" t="str">
        <f>VLOOKUP("*il17*",'[1]14. Issues Log'!$A$2:$ZZ$4999,13,FALSE)</f>
        <v>South Yorkshire ICB Chief Nurse formal meeting;
SYICB Place Directors; 
Turnaround Meetings and 
DoN and Place Executive Team meeting</v>
      </c>
      <c r="N3" s="4" t="str">
        <f>VLOOKUP("*il17*",'[1]14. Issues Log'!$A$2:$ZZ$4999,14,FALSE)</f>
        <v>29/08/2023
01/12/2023
01/02/2024
01/03/2024
29/04/2024
03/06/2024
22/07/2024
27/08/2024
30/09/2024
04/11/2024
09/12/2024
07/01/2025
24/01/2025
25/02/2025
05/03/2025
09/06/2025
08/09/2025
30/09/2025
02/01/2026  
30/03/2026</v>
      </c>
      <c r="O3" s="135">
        <f>VLOOKUP("*il17*",'[1]14. Issues Log'!$A$2:$ZZ$4999,15,FALSE)</f>
        <v>46203</v>
      </c>
      <c r="P3" s="139" t="str">
        <f>VLOOKUP("*il17*",'[1]14. Issues Log'!$A$2:$ZZ$4999,16,FALSE)</f>
        <v>Not overdue</v>
      </c>
      <c r="Q3" s="4" t="str">
        <f>VLOOKUP("*il17*",'[1]14. Issues Log'!$A$2:$ZZ$4999,17,FALSE)</f>
        <v>Alun Windle 
Jayne Sivakumar</v>
      </c>
      <c r="R3" s="4" t="str">
        <f>VLOOKUP("*il17*",'[1]14. Issues Log'!$A$2:$ZZ$4999,18,FALSE)</f>
        <v>January 2026 -
Commissioning of external capacity in process through Proof of Concept approach to ensure quality and Financial Efficiencies can be maintained. Additional commercial companies in discussion with the ICB.
Ongoing challenge in relation to the impact of organisational change on the team well being and productivity.</v>
      </c>
      <c r="S3" s="4" t="str">
        <f>VLOOKUP("*il17*",'[1]14. Issues Log'!$A$2:$ZZ$4999,19,FALSE)</f>
        <v>Quarterly</v>
      </c>
      <c r="T3" s="4" t="str">
        <f>VLOOKUP("*il17*",'[1]14. Issues Log'!$A$2:$ZZ$4999,20,FALSE)</f>
        <v>All Place Committees</v>
      </c>
      <c r="U3" s="4" t="str">
        <f>VLOOKUP("*il17*",'[1]14. Issues Log'!$A$2:$ZZ$4999,21,FALSE)</f>
        <v>Quality Performance Patient Involvement Experience (QPPIE)</v>
      </c>
      <c r="V3" s="135">
        <f>VLOOKUP("*il17*",'[1]14. Issues Log'!$A$2:$ZZ$4999,22,FALSE)</f>
        <v>45167</v>
      </c>
      <c r="W3" s="4">
        <f>VLOOKUP("*il17*",'[1]14. Issues Log'!$A$2:$ZZ$4999,23,FALSE)</f>
        <v>678</v>
      </c>
      <c r="X3" s="4" t="str">
        <f>VLOOKUP("*il17*",'[1]14. Issues Log'!$A$2:$ZZ$4999,24,FALSE)</f>
        <v>Score currently being reviewed as issue is greater in some areas over others</v>
      </c>
    </row>
    <row r="4" spans="1:24" s="76" customFormat="1" ht="409.5" x14ac:dyDescent="0.35">
      <c r="A4" s="3" t="str">
        <f>VLOOKUP("*IL07 - R*",'[1]14. Issues Log'!$A$2:$ZZ$4999,1,FALSE)</f>
        <v>IL07 - R</v>
      </c>
      <c r="B4" s="4" t="str">
        <f>VLOOKUP("*IL07 - R*",'[1]14. Issues Log'!$A$2:$ZZ$4999,2,FALSE)</f>
        <v>All places</v>
      </c>
      <c r="C4" s="4" t="str">
        <f>VLOOKUP("*IL07 - R*",'[1]14. Issues Log'!$A$2:$ZZ$4999,3,FALSE)</f>
        <v>1,5,6</v>
      </c>
      <c r="D4" s="4" t="str">
        <f>VLOOKUP("*IL07 - R*",'[1]14. Issues Log'!$A$2:$ZZ$4999,4,FALSE)</f>
        <v>0.1.2; 2.13</v>
      </c>
      <c r="E4" s="4" t="str">
        <f>VLOOKUP("*IL07 - R*",'[1]14. Issues Log'!$A$2:$ZZ$4999,5,FALSE)</f>
        <v xml:space="preserve">Sy115, SY132, SY113, SY066
</v>
      </c>
      <c r="F4" s="4" t="str">
        <f>VLOOKUP("*IL07 - R*",'[1]14. Issues Log'!$A$2:$ZZ$4999,6,FALSE)</f>
        <v xml:space="preserve">Urgent and Emergency Care (including 111/999)- there continues to be significant pressure faced by Urgent and Emergency Care Services including the Yorkshire Ambulance Service.  Which could result in patient harm, reputational damage for the ICB.  </v>
      </c>
      <c r="G4" s="4">
        <f>VLOOKUP("*IL07 - R*",'[1]14. Issues Log'!$A$2:$ZZ$4999,7,FALSE)</f>
        <v>5</v>
      </c>
      <c r="H4" s="156">
        <f>VLOOKUP("*IL07 - R*",'[1]14. Issues Log'!$A$2:$ZZ$4999,8,FALSE)</f>
        <v>3</v>
      </c>
      <c r="I4" s="74">
        <f>VLOOKUP("*IL07 - R*",'[1]14. Issues Log'!$A$2:$ZZ$4999,9,FALSE)</f>
        <v>15</v>
      </c>
      <c r="J4" s="4" t="str">
        <f>VLOOKUP("*IL07 - R*",'[1]14. Issues Log'!$A$2:$ZZ$4999,10,FALSE)</f>
        <v>Consulted</v>
      </c>
      <c r="K4" s="4" t="str">
        <f>VLOOKUP("*IL07 - R*",'[1]14. Issues Log'!$A$2:$ZZ$4999,11,FALSE)</f>
        <v>Contract led by West Yorkshire ICB.
1)South Yorkshire ICB executive represented on the Yorkshire &amp; Humber  Executive Leadership Board
2)Memorandum of Understanding in place between 3 ICBs (WY, HNY and SY) and Yorkshire Ambulance Service (YAS)
3)Good engagement and representation from YAS at place and South Yorkshire Urgent Emergency Care (SY UEC) Alliance Board .
4)System Co-Ordination Centre (SCC), manages the live risk and responds to pressure across the system. 
5)New National Draft SCC and Operational Pressures Escalation Levels (OPEL) reporting guidance being consulted on and expected to be final in Autumn.                                                     
6)SY UEC providing governance arrangements with delivery through each of our 4 Place UEC delivery groups.                                                                                                     
7)Letter issued to Place Delivery Board from UEC Senior Responsible Officer (SRO) and Exec lead to request recovery plan to recover current operational attainment
8)25 26 waterfall trajectory now submitted above trajectory in July 25 - over 70% month to date (August 2025) position has deteriorated over winter and is slightly under 70% at mid Feb 26</v>
      </c>
      <c r="L4" s="4" t="str">
        <f>VLOOKUP("*IL07 - R*",'[1]14. Issues Log'!$A$2:$ZZ$4999,12,FALSE)</f>
        <v xml:space="preserve">Sarah Perkins
</v>
      </c>
      <c r="M4" s="4" t="str">
        <f>VLOOKUP("*IL07 - R*",'[1]14. Issues Log'!$A$2:$ZZ$4999,13,FALSE)</f>
        <v>SY ICB RR SY048</v>
      </c>
      <c r="N4" s="4" t="str">
        <f>VLOOKUP("*IL07 - R*",'[1]14. Issues Log'!$A$2:$ZZ$4999,14,FALSE)</f>
        <v>07/10/2024
11/11/2024
16/12/2024
20/01/2025
30/01/2025
03/03/2025
08/04/2025
12/05/2025
16/06/2025
21/07/2025
26/08/2025
07/10/2025
11/11/2025
15/12/2025
19/01/2026
23/02/2026
30/03/2026</v>
      </c>
      <c r="O4" s="135">
        <f>VLOOKUP("*IL07 - R*",'[1]14. Issues Log'!$A$2:$ZZ$4999,15,FALSE)</f>
        <v>46142</v>
      </c>
      <c r="P4" s="139" t="str">
        <f>VLOOKUP("*IL07 - R*",'[1]14. Issues Log'!$A$2:$ZZ$4999,16,FALSE)</f>
        <v>Not overdue</v>
      </c>
      <c r="Q4" s="4" t="str">
        <f>VLOOKUP("*IL07 - R*",'[1]14. Issues Log'!$A$2:$ZZ$4999,17,FALSE)</f>
        <v>Claire Smith</v>
      </c>
      <c r="R4" s="4" t="str">
        <f>VLOOKUP("*IL07 - R*",'[1]14. Issues Log'!$A$2:$ZZ$4999,18,FALSE)</f>
        <v xml:space="preserve">July 2025  - progress made on 4 hr target and is on track to meet waterfall at the minute, winter plan is being developed for sign off in July. 4hr performance above waterfall trajectory, handover times remain positive, 45 minute protocol to be implemented on 12th August in Rotherham. SDEC reopened with extended hours, integration of primary care and minors and inability now to bed in SDEC which is leading to positive improvements. Virtual ward tech implemented and increases seen in utilisation of service from c55% to c80% in recent weeks. 
Oct 25 - data analysis on admission avoidance has shown opportunity in Rotherham and a request to discuss and agree a trajectory for improvement will be discussed at our UEC Board this month. 
November 2025 - this has been agreed in Place and fed back into UEC alliance. 
December work is ongoing - analysis of top presenting patients by GP practice shared and targeted work to commence, 
February 2026 - Work continues throughout February and March 2026. </v>
      </c>
      <c r="S4" s="4" t="str">
        <f>VLOOKUP("*IL07 - R*",'[1]14. Issues Log'!$A$2:$ZZ$4999,19,FALSE)</f>
        <v xml:space="preserve">Seeing high risk / P1 patients in a timely manner </v>
      </c>
      <c r="T4" s="4" t="str">
        <f>VLOOKUP("*IL07 - R*",'[1]14. Issues Log'!$A$2:$ZZ$4999,20,FALSE)</f>
        <v>All Place Committees</v>
      </c>
      <c r="U4" s="4" t="str">
        <f>VLOOKUP("*IL07 - R*",'[1]14. Issues Log'!$A$2:$ZZ$4999,21,FALSE)</f>
        <v>Quality Performance Patient Involvement Experience (QPPIE)</v>
      </c>
      <c r="V4" s="135">
        <f>VLOOKUP("*IL07 - R*",'[1]14. Issues Log'!$A$2:$ZZ$4999,22,FALSE)</f>
        <v>44900</v>
      </c>
      <c r="W4" s="4">
        <f>VLOOKUP("*IL07 - R*",'[1]14. Issues Log'!$A$2:$ZZ$4999,23,FALSE)</f>
        <v>869</v>
      </c>
      <c r="X4" s="4" t="str">
        <f>VLOOKUP("*IL07 - R*",'[1]14. Issues Log'!$A$2:$ZZ$4999,24,FALSE)</f>
        <v xml:space="preserve">April 2025-  Rotherham continue to be challenged in meeting the national 4hr UEC measure and NCTR.
Winter planning letter from NHSE received and our winter plan has been supported at the UEC board in draft in Sept 2024 and UEC alliance. Formal agreement October 2024 at UEC board. ARI hub commenced early due to pressures and all schemes are on track to commence or have commenced. Work is now ongoing regarding articulating the impact in admissions and bed days saved from our transformation programmes within UEC linked to the Deloitte's work. A push to reach 76% by the end of MARCH 2025 was implemented with some improvements seen in performance (but not consistent) with some non recurrent funding identified from Rotherham PLACE ICB and TRFT to support this.
May 2025 - waterfall submitted with trajectory to improve performance which includes action regarding SDEC development based on capital funding, UECC action plan with various actions to support improved flow and admission avoidance inc trail of community physician frailty model of proactive care, x-ray machine on ambulances in community, further integration of transfer of care hub, review of capacity and demand in intermediate care, data analysis of demand to support primary care investment
see above June update 
see above July update 
August 2025 - progress being made in all areas of UEC action plan which is showing positive signs in terms of performance with the trust. Demand still remains high in terms of attendances and further work is required. 
Oct 2025- winter plans now in place and each organisation has signed off their board assurance framework. 
November 2025 - ARI hub has been mobilised early to support increasing demand </v>
      </c>
    </row>
    <row r="5" spans="1:24" s="76" customFormat="1" ht="304.5" x14ac:dyDescent="0.35">
      <c r="A5" s="3" t="str">
        <f>VLOOKUP("*il09*",'[1]14. Issues Log'!$A$2:$ZZ$4999,1,FALSE)</f>
        <v>IL09</v>
      </c>
      <c r="B5" s="4" t="str">
        <f>VLOOKUP("*il09*",'[1]14. Issues Log'!$A$2:$ZZ$4999,2,FALSE)</f>
        <v>ICB</v>
      </c>
      <c r="C5" s="4" t="str">
        <f>VLOOKUP("*il09*",'[1]14. Issues Log'!$A$2:$ZZ$4999,3,FALSE)</f>
        <v>3,5,6</v>
      </c>
      <c r="D5" s="4">
        <f>VLOOKUP("*il09*",'[1]14. Issues Log'!$A$2:$ZZ$4999,4,FALSE)</f>
        <v>2.11</v>
      </c>
      <c r="E5" s="4" t="str">
        <f>VLOOKUP("*il09*",'[1]14. Issues Log'!$A$2:$ZZ$4999,5,FALSE)</f>
        <v>SY112</v>
      </c>
      <c r="F5" s="4" t="str">
        <f>VLOOKUP("*il09*",'[1]14. Issues Log'!$A$2:$ZZ$4999,6,FALSE)</f>
        <v>Medication Supply - There is a risk that shortages of medicines due to increases in demand and/or supply issues will prevent appropriate treatment/ condition management and potentially increase medicine costs.</v>
      </c>
      <c r="G5" s="4">
        <f>VLOOKUP("*il09*",'[1]14. Issues Log'!$A$2:$ZZ$4999,7,FALSE)</f>
        <v>5</v>
      </c>
      <c r="H5" s="156">
        <f>VLOOKUP("*il09*",'[1]14. Issues Log'!$A$2:$ZZ$4999,8,FALSE)</f>
        <v>2</v>
      </c>
      <c r="I5" s="75">
        <f>VLOOKUP("*il09*",'[1]14. Issues Log'!$A$2:$ZZ$4999,9,FALSE)</f>
        <v>10</v>
      </c>
      <c r="J5" s="4" t="str">
        <f>VLOOKUP("*il09*",'[1]14. Issues Log'!$A$2:$ZZ$4999,10,FALSE)</f>
        <v>Accountable</v>
      </c>
      <c r="K5" s="4" t="str">
        <f>VLOOKUP("*il09*",'[1]14. Issues Log'!$A$2:$ZZ$4999,11,FALSE)</f>
        <v>1)To communicate deployment of serious shortage protocols An additional mitigation/ response is a co-ordinated sharing of out of stock information across places now rolled out across SY except certain practices in Sheffield who have refused connection to the system. 
2) A tactical level response have been developed for use in the event of a sudden shortage.                                                                                                                                                                                                           3)to raise with the system control centres,  the possibility of dealing stock from hospitals, release advice about alternatives and how they can be used to raise with NHS region.  
4)All-Party Parliamentary Group on Pharmacy - Call for written evidence on medicines shortages. Closed 24th January 2025, awaiting outcome.</v>
      </c>
      <c r="L5" s="4" t="str">
        <f>VLOOKUP("*il09*",'[1]14. Issues Log'!$A$2:$ZZ$4999,12,FALSE)</f>
        <v>Dr David Crichton 
Chief Medical Officer</v>
      </c>
      <c r="M5" s="4" t="str">
        <f>VLOOKUP("*il09*",'[1]14. Issues Log'!$A$2:$ZZ$4999,13,FALSE)</f>
        <v>Previous CCG Risk Management Processes</v>
      </c>
      <c r="N5" s="4" t="str">
        <f>VLOOKUP("*il09*",'[1]14. Issues Log'!$A$2:$ZZ$4999,14,FALSE)</f>
        <v>13/04/2023                            
  02/05/2023      03/07/2023                 18/08/2023                         21/09/2023                                      16/10/2023
09/01/2024
21/02/2024
30/04/2024
20/05/2024
30/06/2024
22/07/2024
02/09/2024
05/09/2024
19/11/2024
04/02/2025
05/05/2025
15/08/2025
22/08/2025
01/12/2025
02/03/2026</v>
      </c>
      <c r="O5" s="135">
        <f>VLOOKUP("*il09*",'[1]14. Issues Log'!$A$2:$ZZ$4999,15,FALSE)</f>
        <v>46175</v>
      </c>
      <c r="P5" s="139" t="str">
        <f>VLOOKUP("*il09*",'[1]14. Issues Log'!$A$2:$ZZ$4999,16,FALSE)</f>
        <v>Not overdue</v>
      </c>
      <c r="Q5" s="4" t="str">
        <f>VLOOKUP("*il09*",'[1]14. Issues Log'!$A$2:$ZZ$4999,17,FALSE)</f>
        <v>Alex Molyneux  (Chief Pharmacy Officer)</v>
      </c>
      <c r="R5" s="4" t="str">
        <f>VLOOKUP("*il09*",'[1]14. Issues Log'!$A$2:$ZZ$4999,18,FALSE)</f>
        <v>August 2025 - National shortages of medicines remain, processes to manage this continue. Work is proposed nationally to have a reporting system to aide patients to find pharmacies who do have stock of the medicines. Dec 2025 - Many Sheffield practices continue to refuse connection to the stock notification Accu Rx system, resulting in unnecessary delays to treatment. Several attempts have been made to demonstrate the effectiveness of the system
March 26 - medicines availability continues to be an issue and has been raised by chemist as a challenge to manage alternatives.</v>
      </c>
      <c r="S5" s="4" t="str">
        <f>VLOOKUP("*il09*",'[1]14. Issues Log'!$A$2:$ZZ$4999,19,FALSE)</f>
        <v>Quarterly</v>
      </c>
      <c r="T5" s="4" t="str">
        <f>VLOOKUP("*il09*",'[1]14. Issues Log'!$A$2:$ZZ$4999,20,FALSE)</f>
        <v>All Place Committees</v>
      </c>
      <c r="U5" s="4" t="str">
        <f>VLOOKUP("*il09*",'[1]14. Issues Log'!$A$2:$ZZ$4999,21,FALSE)</f>
        <v>Quality Performance Patient Involvement Experience (QPPIE)</v>
      </c>
      <c r="V5" s="4">
        <f>VLOOKUP("*il09*",'[1]14. Issues Log'!$A$2:$ZZ$4999,22,FALSE)</f>
        <v>45029</v>
      </c>
      <c r="W5" s="4">
        <f>VLOOKUP("*il09*",'[1]14. Issues Log'!$A$2:$ZZ$4999,23,FALSE)</f>
        <v>776</v>
      </c>
      <c r="X5" s="4" t="str">
        <f>VLOOKUP("*il09*",'[1]14. Issues Log'!$A$2:$ZZ$4999,24,FALSE)</f>
        <v>This is a fluid topic with new alerts of medication shortages. A paper was presented to QPIE in September to share the oversight and assurance processes.
8th Jan 24. All-Party Parliamentary Group on Pharmacy - Call for written evidence on medicines shortages. Closed 24th January 2025, awaiting outcome.</v>
      </c>
    </row>
  </sheetData>
  <mergeCells count="1">
    <mergeCell ref="G1:I1"/>
  </mergeCells>
  <dataValidations count="1">
    <dataValidation type="list" allowBlank="1" showInputMessage="1" showErrorMessage="1" sqref="B2" xr:uid="{BA4FDCD0-F551-47FE-8933-CA5E9DFF3297}">
      <formula1>"Barnsley, Doncaster, Rotherham, Sheffield, All, ICB"</formula1>
    </dataValidation>
  </dataValidations>
  <pageMargins left="0.31496062992125984" right="0.31496062992125984" top="0.35433070866141736" bottom="0.35433070866141736" header="0.31496062992125984" footer="0.31496062992125984"/>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F2048-2C8F-46C6-995B-3FA23171EAB0}">
  <dimension ref="A1:AC9"/>
  <sheetViews>
    <sheetView zoomScale="70" zoomScaleNormal="70" workbookViewId="0">
      <pane ySplit="1" topLeftCell="A7" activePane="bottomLeft" state="frozen"/>
      <selection pane="bottomLeft" activeCell="E7" sqref="D7:E7"/>
    </sheetView>
  </sheetViews>
  <sheetFormatPr defaultRowHeight="14.5" x14ac:dyDescent="0.35"/>
  <cols>
    <col min="1" max="1" width="13.1796875" customWidth="1"/>
    <col min="2" max="2" width="24.54296875" customWidth="1"/>
    <col min="3" max="3" width="19.54296875" customWidth="1"/>
    <col min="4" max="4" width="15.54296875" customWidth="1"/>
    <col min="5" max="5" width="19.54296875" customWidth="1"/>
    <col min="6" max="6" width="62.54296875" style="149" customWidth="1"/>
    <col min="7" max="7" width="10.54296875" customWidth="1"/>
    <col min="8" max="8" width="11" customWidth="1"/>
    <col min="9" max="9" width="11.453125" customWidth="1"/>
    <col min="10" max="10" width="15.54296875" customWidth="1"/>
    <col min="11" max="11" width="92.1796875" bestFit="1" customWidth="1"/>
    <col min="12" max="12" width="41.54296875" customWidth="1"/>
    <col min="13" max="13" width="29" customWidth="1"/>
    <col min="14" max="14" width="13.54296875" customWidth="1"/>
    <col min="15" max="15" width="12.453125" customWidth="1"/>
    <col min="16" max="16" width="13.1796875" customWidth="1"/>
    <col min="17" max="17" width="16" customWidth="1"/>
    <col min="18" max="18" width="29.453125" customWidth="1"/>
    <col min="19" max="19" width="121.26953125" customWidth="1"/>
    <col min="20" max="20" width="20.453125" customWidth="1"/>
    <col min="21" max="21" width="19.54296875" customWidth="1"/>
    <col min="22" max="22" width="15.54296875" customWidth="1"/>
    <col min="23" max="23" width="18" customWidth="1"/>
    <col min="24" max="24" width="61.54296875" customWidth="1"/>
  </cols>
  <sheetData>
    <row r="1" spans="1:29" s="200" customFormat="1" ht="64" customHeight="1" x14ac:dyDescent="0.35">
      <c r="A1" s="66" t="s">
        <v>124</v>
      </c>
      <c r="B1" s="66" t="s">
        <v>144</v>
      </c>
      <c r="C1" s="66" t="s">
        <v>143</v>
      </c>
      <c r="D1" s="66" t="s">
        <v>145</v>
      </c>
      <c r="E1" s="66" t="s">
        <v>146</v>
      </c>
      <c r="F1" s="145" t="s">
        <v>147</v>
      </c>
      <c r="G1" s="66" t="s">
        <v>13</v>
      </c>
      <c r="H1" s="66" t="s">
        <v>148</v>
      </c>
      <c r="I1" s="66" t="s">
        <v>149</v>
      </c>
      <c r="J1" s="66" t="s">
        <v>128</v>
      </c>
      <c r="K1" s="66" t="s">
        <v>150</v>
      </c>
      <c r="L1" s="66" t="s">
        <v>151</v>
      </c>
      <c r="M1" s="66" t="s">
        <v>129</v>
      </c>
      <c r="N1" s="66" t="s">
        <v>280</v>
      </c>
      <c r="O1" s="66" t="s">
        <v>153</v>
      </c>
      <c r="P1" s="66" t="s">
        <v>154</v>
      </c>
      <c r="Q1" s="66" t="s">
        <v>155</v>
      </c>
      <c r="R1" s="66" t="s">
        <v>158</v>
      </c>
      <c r="S1" s="66" t="s">
        <v>159</v>
      </c>
      <c r="T1" s="67" t="s">
        <v>160</v>
      </c>
      <c r="U1" s="68" t="s">
        <v>161</v>
      </c>
      <c r="V1" s="68" t="s">
        <v>162</v>
      </c>
      <c r="W1" s="69" t="s">
        <v>163</v>
      </c>
      <c r="X1" s="69" t="s">
        <v>166</v>
      </c>
      <c r="Y1" s="198"/>
      <c r="Z1" s="199"/>
      <c r="AA1" s="199"/>
      <c r="AB1" s="199"/>
      <c r="AC1" s="199"/>
    </row>
    <row r="2" spans="1:29" s="55" customFormat="1" ht="38.25" customHeight="1" x14ac:dyDescent="0.35">
      <c r="A2" s="168"/>
      <c r="B2" s="168"/>
      <c r="C2" s="168"/>
      <c r="D2" s="168"/>
      <c r="E2" s="168"/>
      <c r="F2" s="169"/>
      <c r="G2" s="146" t="s">
        <v>167</v>
      </c>
      <c r="H2" s="146" t="s">
        <v>167</v>
      </c>
      <c r="I2" s="146" t="s">
        <v>167</v>
      </c>
      <c r="J2" s="168"/>
      <c r="K2" s="168"/>
      <c r="L2" s="170"/>
      <c r="M2" s="168"/>
      <c r="N2" s="245" t="s">
        <v>168</v>
      </c>
      <c r="O2" s="245"/>
      <c r="P2" s="245"/>
      <c r="Q2" s="168"/>
      <c r="R2" s="170"/>
      <c r="S2" s="168"/>
      <c r="T2" s="171"/>
      <c r="U2" s="172"/>
      <c r="V2" s="172"/>
      <c r="W2" s="173"/>
      <c r="X2" s="173"/>
      <c r="Y2" s="131"/>
      <c r="Z2" s="132"/>
      <c r="AA2" s="132"/>
      <c r="AB2" s="132"/>
      <c r="AC2" s="132"/>
    </row>
    <row r="3" spans="1:29" s="55" customFormat="1" ht="281.25" hidden="1" customHeight="1" x14ac:dyDescent="0.35">
      <c r="A3" s="71" t="s">
        <v>169</v>
      </c>
      <c r="B3" s="174" t="s">
        <v>281</v>
      </c>
      <c r="C3" s="71" t="s">
        <v>170</v>
      </c>
      <c r="D3" s="71" t="s">
        <v>171</v>
      </c>
      <c r="E3" s="71" t="s">
        <v>172</v>
      </c>
      <c r="F3" s="73" t="s">
        <v>173</v>
      </c>
      <c r="G3" s="71">
        <v>3</v>
      </c>
      <c r="H3" s="71">
        <v>4</v>
      </c>
      <c r="I3" s="70">
        <v>12</v>
      </c>
      <c r="J3" s="70" t="s">
        <v>174</v>
      </c>
      <c r="K3" s="73" t="s">
        <v>175</v>
      </c>
      <c r="L3" s="71" t="s">
        <v>176</v>
      </c>
      <c r="M3" s="71" t="s">
        <v>177</v>
      </c>
      <c r="N3" s="71">
        <v>1</v>
      </c>
      <c r="O3" s="71">
        <v>1</v>
      </c>
      <c r="P3" s="70">
        <v>1</v>
      </c>
      <c r="Q3" s="72" t="s">
        <v>178</v>
      </c>
      <c r="R3" s="71" t="s">
        <v>179</v>
      </c>
      <c r="S3" s="73" t="s">
        <v>282</v>
      </c>
      <c r="T3" s="175">
        <v>45261</v>
      </c>
      <c r="U3" s="71" t="s">
        <v>180</v>
      </c>
      <c r="V3" s="71" t="s">
        <v>181</v>
      </c>
      <c r="W3" s="72"/>
      <c r="X3" s="92"/>
      <c r="Y3" s="132"/>
      <c r="Z3" s="132"/>
      <c r="AA3" s="132"/>
      <c r="AB3" s="132"/>
      <c r="AC3" s="132"/>
    </row>
    <row r="4" spans="1:29" s="55" customFormat="1" ht="372" x14ac:dyDescent="0.35">
      <c r="A4" s="71" t="s">
        <v>182</v>
      </c>
      <c r="B4" s="176" t="s">
        <v>183</v>
      </c>
      <c r="C4" s="177" t="s">
        <v>170</v>
      </c>
      <c r="D4" s="178" t="s">
        <v>184</v>
      </c>
      <c r="E4" s="178"/>
      <c r="F4" s="147" t="s">
        <v>185</v>
      </c>
      <c r="G4" s="177">
        <v>4</v>
      </c>
      <c r="H4" s="177">
        <v>5</v>
      </c>
      <c r="I4" s="179">
        <v>20</v>
      </c>
      <c r="J4" s="70" t="s">
        <v>174</v>
      </c>
      <c r="K4" s="147" t="s">
        <v>186</v>
      </c>
      <c r="L4" s="180" t="s">
        <v>187</v>
      </c>
      <c r="M4" s="71" t="s">
        <v>188</v>
      </c>
      <c r="N4" s="177">
        <v>3</v>
      </c>
      <c r="O4" s="177">
        <v>3</v>
      </c>
      <c r="P4" s="181">
        <v>9</v>
      </c>
      <c r="Q4" s="177" t="s">
        <v>178</v>
      </c>
      <c r="R4" s="182" t="s">
        <v>189</v>
      </c>
      <c r="S4" s="180" t="s">
        <v>299</v>
      </c>
      <c r="T4" s="175" t="s">
        <v>180</v>
      </c>
      <c r="U4" s="175" t="s">
        <v>180</v>
      </c>
      <c r="V4" s="182" t="s">
        <v>181</v>
      </c>
      <c r="W4" s="182"/>
      <c r="X4" s="180"/>
      <c r="Y4" s="132"/>
      <c r="Z4" s="132"/>
      <c r="AA4" s="132"/>
      <c r="AB4" s="132"/>
      <c r="AC4" s="132"/>
    </row>
    <row r="5" spans="1:29" s="55" customFormat="1" ht="384" customHeight="1" x14ac:dyDescent="0.35">
      <c r="A5" s="71" t="s">
        <v>190</v>
      </c>
      <c r="B5" s="174" t="s">
        <v>191</v>
      </c>
      <c r="C5" s="71" t="s">
        <v>170</v>
      </c>
      <c r="D5" s="183"/>
      <c r="E5" s="183"/>
      <c r="F5" s="147" t="s">
        <v>192</v>
      </c>
      <c r="G5" s="177">
        <v>4</v>
      </c>
      <c r="H5" s="177">
        <v>4</v>
      </c>
      <c r="I5" s="179">
        <v>16</v>
      </c>
      <c r="J5" s="70" t="s">
        <v>174</v>
      </c>
      <c r="K5" s="147" t="s">
        <v>193</v>
      </c>
      <c r="L5" s="71" t="s">
        <v>194</v>
      </c>
      <c r="M5" s="71" t="s">
        <v>188</v>
      </c>
      <c r="N5" s="177">
        <v>1</v>
      </c>
      <c r="O5" s="177">
        <v>3</v>
      </c>
      <c r="P5" s="206">
        <v>3</v>
      </c>
      <c r="Q5" s="184">
        <v>45323</v>
      </c>
      <c r="R5" s="182" t="s">
        <v>195</v>
      </c>
      <c r="S5" s="185" t="s">
        <v>300</v>
      </c>
      <c r="T5" s="177" t="s">
        <v>180</v>
      </c>
      <c r="U5" s="182" t="s">
        <v>180</v>
      </c>
      <c r="V5" s="182" t="s">
        <v>181</v>
      </c>
      <c r="W5" s="186">
        <v>45323</v>
      </c>
      <c r="X5" s="183"/>
    </row>
    <row r="6" spans="1:29" s="134" customFormat="1" ht="124" x14ac:dyDescent="0.35">
      <c r="A6" s="182" t="s">
        <v>283</v>
      </c>
      <c r="B6" s="176" t="s">
        <v>246</v>
      </c>
      <c r="C6" s="177" t="s">
        <v>170</v>
      </c>
      <c r="D6" s="177" t="s">
        <v>184</v>
      </c>
      <c r="E6" s="177"/>
      <c r="F6" s="147" t="s">
        <v>247</v>
      </c>
      <c r="G6" s="177">
        <v>4</v>
      </c>
      <c r="H6" s="177">
        <v>3</v>
      </c>
      <c r="I6" s="181">
        <v>12</v>
      </c>
      <c r="J6" s="70" t="s">
        <v>174</v>
      </c>
      <c r="K6" s="147" t="s">
        <v>284</v>
      </c>
      <c r="L6" s="177" t="s">
        <v>285</v>
      </c>
      <c r="M6" s="177" t="s">
        <v>197</v>
      </c>
      <c r="N6" s="177">
        <v>4</v>
      </c>
      <c r="O6" s="177">
        <v>3</v>
      </c>
      <c r="P6" s="181">
        <v>12</v>
      </c>
      <c r="Q6" s="177"/>
      <c r="R6" s="177" t="s">
        <v>285</v>
      </c>
      <c r="S6" s="187" t="s">
        <v>301</v>
      </c>
      <c r="T6" s="177" t="s">
        <v>180</v>
      </c>
      <c r="U6" s="177" t="s">
        <v>180</v>
      </c>
      <c r="V6" s="182" t="s">
        <v>197</v>
      </c>
      <c r="W6" s="184">
        <v>45532</v>
      </c>
      <c r="X6" s="177"/>
    </row>
    <row r="7" spans="1:29" s="148" customFormat="1" ht="372" customHeight="1" x14ac:dyDescent="0.35">
      <c r="A7" s="182" t="s">
        <v>286</v>
      </c>
      <c r="B7" s="176" t="s">
        <v>251</v>
      </c>
      <c r="C7" s="177" t="s">
        <v>170</v>
      </c>
      <c r="D7" s="180"/>
      <c r="E7" s="180"/>
      <c r="F7" s="147" t="s">
        <v>252</v>
      </c>
      <c r="G7" s="182">
        <v>4</v>
      </c>
      <c r="H7" s="182">
        <v>3</v>
      </c>
      <c r="I7" s="188">
        <v>12</v>
      </c>
      <c r="J7" s="70" t="s">
        <v>174</v>
      </c>
      <c r="K7" s="180" t="s">
        <v>253</v>
      </c>
      <c r="L7" s="182" t="s">
        <v>176</v>
      </c>
      <c r="M7" s="182" t="s">
        <v>197</v>
      </c>
      <c r="N7" s="182">
        <v>2</v>
      </c>
      <c r="O7" s="182">
        <v>3</v>
      </c>
      <c r="P7" s="189">
        <v>6</v>
      </c>
      <c r="Q7" s="182" t="s">
        <v>254</v>
      </c>
      <c r="R7" s="182" t="s">
        <v>287</v>
      </c>
      <c r="S7" s="187" t="s">
        <v>302</v>
      </c>
      <c r="T7" s="182" t="s">
        <v>180</v>
      </c>
      <c r="U7" s="182" t="s">
        <v>180</v>
      </c>
      <c r="V7" s="182" t="s">
        <v>197</v>
      </c>
      <c r="W7" s="182" t="s">
        <v>254</v>
      </c>
      <c r="X7" s="182"/>
    </row>
    <row r="8" spans="1:29" s="191" customFormat="1" ht="273.75" customHeight="1" x14ac:dyDescent="0.35">
      <c r="A8" s="176" t="s">
        <v>288</v>
      </c>
      <c r="B8" s="176" t="s">
        <v>289</v>
      </c>
      <c r="C8" s="176" t="s">
        <v>170</v>
      </c>
      <c r="D8" s="178" t="s">
        <v>184</v>
      </c>
      <c r="E8" s="183"/>
      <c r="F8" s="187" t="s">
        <v>290</v>
      </c>
      <c r="G8" s="177">
        <v>4</v>
      </c>
      <c r="H8" s="177">
        <v>4</v>
      </c>
      <c r="I8" s="179">
        <v>16</v>
      </c>
      <c r="J8" s="70" t="s">
        <v>174</v>
      </c>
      <c r="K8" s="185" t="s">
        <v>291</v>
      </c>
      <c r="L8" s="177" t="s">
        <v>303</v>
      </c>
      <c r="M8" s="176" t="s">
        <v>197</v>
      </c>
      <c r="N8" s="177">
        <v>2</v>
      </c>
      <c r="O8" s="177">
        <v>3</v>
      </c>
      <c r="P8" s="133">
        <v>6</v>
      </c>
      <c r="Q8" s="177" t="s">
        <v>292</v>
      </c>
      <c r="R8" s="182" t="s">
        <v>304</v>
      </c>
      <c r="S8" s="185" t="s">
        <v>305</v>
      </c>
      <c r="T8" s="176" t="s">
        <v>180</v>
      </c>
      <c r="U8" s="176" t="s">
        <v>180</v>
      </c>
      <c r="V8" s="176" t="s">
        <v>197</v>
      </c>
      <c r="W8" s="190">
        <v>45658</v>
      </c>
      <c r="X8" s="183"/>
    </row>
    <row r="9" spans="1:29" s="197" customFormat="1" ht="170.5" x14ac:dyDescent="0.35">
      <c r="A9" s="192" t="s">
        <v>293</v>
      </c>
      <c r="B9" s="193" t="s">
        <v>294</v>
      </c>
      <c r="C9" s="176" t="s">
        <v>170</v>
      </c>
      <c r="D9" s="178" t="s">
        <v>184</v>
      </c>
      <c r="E9" s="178"/>
      <c r="F9" s="147" t="s">
        <v>295</v>
      </c>
      <c r="G9" s="193">
        <v>4</v>
      </c>
      <c r="H9" s="193">
        <v>3</v>
      </c>
      <c r="I9" s="194">
        <v>12</v>
      </c>
      <c r="J9" s="70" t="s">
        <v>174</v>
      </c>
      <c r="K9" s="180" t="s">
        <v>296</v>
      </c>
      <c r="L9" s="177" t="s">
        <v>297</v>
      </c>
      <c r="M9" s="176" t="s">
        <v>197</v>
      </c>
      <c r="N9" s="193">
        <v>3</v>
      </c>
      <c r="O9" s="193">
        <v>2</v>
      </c>
      <c r="P9" s="195">
        <v>6</v>
      </c>
      <c r="Q9" s="177" t="s">
        <v>298</v>
      </c>
      <c r="R9" s="177" t="s">
        <v>297</v>
      </c>
      <c r="S9" s="185" t="s">
        <v>306</v>
      </c>
      <c r="T9" s="176" t="s">
        <v>180</v>
      </c>
      <c r="U9" s="176" t="s">
        <v>180</v>
      </c>
      <c r="V9" s="176" t="s">
        <v>197</v>
      </c>
      <c r="W9" s="196">
        <v>45931</v>
      </c>
      <c r="X9" s="178"/>
    </row>
  </sheetData>
  <mergeCells count="1">
    <mergeCell ref="N2:P2"/>
  </mergeCells>
  <conditionalFormatting sqref="I3">
    <cfRule type="containsErrors" dxfId="25" priority="7">
      <formula>ISERROR(I3)</formula>
    </cfRule>
    <cfRule type="containsText" dxfId="24" priority="8" operator="containsText" text="0">
      <formula>NOT(ISERROR(SEARCH("0",I3)))</formula>
    </cfRule>
    <cfRule type="cellIs" priority="17" operator="equal">
      <formula>0</formula>
    </cfRule>
    <cfRule type="cellIs" dxfId="23" priority="18" operator="equal">
      <formula>25</formula>
    </cfRule>
    <cfRule type="cellIs" dxfId="22" priority="19" operator="between">
      <formula>15</formula>
      <formula>20</formula>
    </cfRule>
    <cfRule type="cellIs" dxfId="21" priority="20" operator="between">
      <formula>8</formula>
      <formula>12</formula>
    </cfRule>
    <cfRule type="cellIs" dxfId="20" priority="21" operator="between">
      <formula>4</formula>
      <formula>6</formula>
    </cfRule>
    <cfRule type="cellIs" dxfId="19" priority="22" operator="between">
      <formula>1</formula>
      <formula>3</formula>
    </cfRule>
    <cfRule type="containsBlanks" dxfId="18" priority="27">
      <formula>LEN(TRIM(I3))=0</formula>
    </cfRule>
  </conditionalFormatting>
  <conditionalFormatting sqref="I3:J3 J4:J9">
    <cfRule type="cellIs" dxfId="17" priority="23" operator="between">
      <formula>15</formula>
      <formula>25</formula>
    </cfRule>
    <cfRule type="cellIs" dxfId="16" priority="24" operator="between">
      <formula>8</formula>
      <formula>12</formula>
    </cfRule>
    <cfRule type="cellIs" dxfId="15" priority="25" operator="between">
      <formula>1</formula>
      <formula>3</formula>
    </cfRule>
    <cfRule type="cellIs" dxfId="14" priority="26" operator="between">
      <formula>4</formula>
      <formula>6</formula>
    </cfRule>
  </conditionalFormatting>
  <conditionalFormatting sqref="J3:J9">
    <cfRule type="containsText" dxfId="13" priority="1" operator="containsText" text="Informed">
      <formula>NOT(ISERROR(SEARCH("Informed",J3)))</formula>
    </cfRule>
    <cfRule type="containsText" dxfId="12" priority="2" operator="containsText" text="Consulted">
      <formula>NOT(ISERROR(SEARCH("Consulted",J3)))</formula>
    </cfRule>
    <cfRule type="containsText" dxfId="11" priority="3" operator="containsText" text="Accountable">
      <formula>NOT(ISERROR(SEARCH("Accountable",J3)))</formula>
    </cfRule>
    <cfRule type="containsText" dxfId="10" priority="4" operator="containsText" text="Responsible">
      <formula>NOT(ISERROR(SEARCH("Responsible",J3)))</formula>
    </cfRule>
    <cfRule type="containsBlanks" dxfId="9" priority="5">
      <formula>LEN(TRIM(J3))=0</formula>
    </cfRule>
  </conditionalFormatting>
  <conditionalFormatting sqref="L3">
    <cfRule type="containsBlanks" dxfId="8" priority="16">
      <formula>LEN(TRIM(L3))=0</formula>
    </cfRule>
  </conditionalFormatting>
  <conditionalFormatting sqref="L5">
    <cfRule type="containsBlanks" dxfId="7" priority="6">
      <formula>LEN(TRIM(L5))=0</formula>
    </cfRule>
  </conditionalFormatting>
  <conditionalFormatting sqref="P1:P3">
    <cfRule type="cellIs" dxfId="6" priority="9" operator="equal">
      <formula>0</formula>
    </cfRule>
    <cfRule type="containsErrors" dxfId="5" priority="10">
      <formula>ISERROR(P1)</formula>
    </cfRule>
    <cfRule type="cellIs" dxfId="4" priority="11" operator="equal">
      <formula>25</formula>
    </cfRule>
    <cfRule type="cellIs" dxfId="3" priority="12" operator="between">
      <formula>15</formula>
      <formula>20</formula>
    </cfRule>
    <cfRule type="cellIs" dxfId="2" priority="13" operator="between">
      <formula>8</formula>
      <formula>12</formula>
    </cfRule>
    <cfRule type="cellIs" dxfId="1" priority="14" operator="between">
      <formula>4</formula>
      <formula>6</formula>
    </cfRule>
    <cfRule type="cellIs" dxfId="0" priority="15" operator="between">
      <formula>1</formula>
      <formula>3</formula>
    </cfRule>
  </conditionalFormatting>
  <pageMargins left="0.31496062992125984" right="0.31496062992125984" top="0.35433070866141736" bottom="0.35433070866141736"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5018A11717134BB97278703A0B5E56" ma:contentTypeVersion="16" ma:contentTypeDescription="Create a new document." ma:contentTypeScope="" ma:versionID="6a5297b0a3390385f62aa08ad4db19f4">
  <xsd:schema xmlns:xsd="http://www.w3.org/2001/XMLSchema" xmlns:xs="http://www.w3.org/2001/XMLSchema" xmlns:p="http://schemas.microsoft.com/office/2006/metadata/properties" xmlns:ns1="http://schemas.microsoft.com/sharepoint/v3" xmlns:ns2="d046717a-388e-49dc-b045-3ec22a2ba0e2" xmlns:ns3="57f926ae-5b61-4ed4-98ca-58bb5f26300f" targetNamespace="http://schemas.microsoft.com/office/2006/metadata/properties" ma:root="true" ma:fieldsID="63253ea3702e868cdbd2af202d213018" ns1:_="" ns2:_="" ns3:_="">
    <xsd:import namespace="http://schemas.microsoft.com/sharepoint/v3"/>
    <xsd:import namespace="d046717a-388e-49dc-b045-3ec22a2ba0e2"/>
    <xsd:import namespace="57f926ae-5b61-4ed4-98ca-58bb5f26300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46717a-388e-49dc-b045-3ec22a2ba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f926ae-5b61-4ed4-98ca-58bb5f26300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240620c-cedf-4cdb-ac68-637adceb469f}" ma:internalName="TaxCatchAll" ma:showField="CatchAllData" ma:web="57f926ae-5b61-4ed4-98ca-58bb5f26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57f926ae-5b61-4ed4-98ca-58bb5f26300f" xsi:nil="true"/>
    <lcf76f155ced4ddcb4097134ff3c332f xmlns="d046717a-388e-49dc-b045-3ec22a2ba0e2">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AEE51F8D-DE2D-4C50-989D-811C433A9229}">
  <ds:schemaRefs>
    <ds:schemaRef ds:uri="http://schemas.microsoft.com/sharepoint/v3/contenttype/forms"/>
  </ds:schemaRefs>
</ds:datastoreItem>
</file>

<file path=customXml/itemProps2.xml><?xml version="1.0" encoding="utf-8"?>
<ds:datastoreItem xmlns:ds="http://schemas.openxmlformats.org/officeDocument/2006/customXml" ds:itemID="{4657685B-9D75-4900-A6ED-5DD96BD9F846}"/>
</file>

<file path=customXml/itemProps3.xml><?xml version="1.0" encoding="utf-8"?>
<ds:datastoreItem xmlns:ds="http://schemas.openxmlformats.org/officeDocument/2006/customXml" ds:itemID="{D4627A9B-D1A8-4DAA-9CFA-72ADC5725EE0}">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1. Cover Sheet</vt:lpstr>
      <vt:lpstr>2. Introduction</vt:lpstr>
      <vt:lpstr>3. Risk Matrix Domain &amp; RACI</vt:lpstr>
      <vt:lpstr>3a. Heat Map</vt:lpstr>
      <vt:lpstr>5(iiI) Rotherham BAF</vt:lpstr>
      <vt:lpstr>8. Organogram</vt:lpstr>
      <vt:lpstr>10(iii) Rotherham RR</vt:lpstr>
      <vt:lpstr>14(iiI) Rotherham IL</vt:lpstr>
      <vt:lpstr>20. Rotherham Place Partnership</vt:lpstr>
      <vt:lpstr>'20. Rotherham Place Partnership'!Print_Area</vt:lpstr>
      <vt:lpstr>'3. Risk Matrix Domain &amp; RACI'!Print_Area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SHARP, Abby (NHS SOUTH YORKSHIRE ICB - 03L)</dc:creator>
  <cp:keywords/>
  <dc:description/>
  <cp:lastModifiedBy>SHARP, Abby (NHS SOUTH YORKSHIRE ICB - 03L)</cp:lastModifiedBy>
  <cp:revision/>
  <dcterms:created xsi:type="dcterms:W3CDTF">2024-04-23T07:32:23Z</dcterms:created>
  <dcterms:modified xsi:type="dcterms:W3CDTF">2026-04-02T07:59:47Z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0x010100AC5018A11717134BB97278703A0B5E56</vt:lpwstr>
  </property>
</Properties>
</file>